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\Obmenik\Марина Петровна\Прогноз 2025-2027\"/>
    </mc:Choice>
  </mc:AlternateContent>
  <bookViews>
    <workbookView xWindow="0" yWindow="0" windowWidth="28800" windowHeight="12135"/>
  </bookViews>
  <sheets>
    <sheet name="01.01.2024" sheetId="2" r:id="rId1"/>
  </sheets>
  <definedNames>
    <definedName name="_xlnm.Print_Area" localSheetId="0">'01.01.2024'!$A$1:$S$99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5" i="2" l="1"/>
  <c r="B36" i="2"/>
  <c r="D19" i="2" l="1"/>
  <c r="E19" i="2" l="1"/>
  <c r="F19" i="2" s="1"/>
  <c r="R19" i="2" l="1"/>
  <c r="Q19" i="2"/>
  <c r="I19" i="2"/>
  <c r="G19" i="2"/>
  <c r="B22" i="2"/>
  <c r="C22" i="2"/>
  <c r="M22" i="2"/>
  <c r="N22" i="2"/>
  <c r="O22" i="2"/>
  <c r="P22" i="2"/>
  <c r="S19" i="2" l="1"/>
  <c r="U19" i="2" s="1"/>
  <c r="D21" i="2"/>
  <c r="E21" i="2" s="1"/>
  <c r="F21" i="2" s="1"/>
  <c r="G21" i="2" s="1"/>
  <c r="D18" i="2"/>
  <c r="E18" i="2" s="1"/>
  <c r="F18" i="2" s="1"/>
  <c r="D17" i="2"/>
  <c r="E17" i="2" l="1"/>
  <c r="D22" i="2"/>
  <c r="Q21" i="2"/>
  <c r="I21" i="2"/>
  <c r="L21" i="2"/>
  <c r="L22" i="2" s="1"/>
  <c r="H21" i="2"/>
  <c r="H22" i="2" s="1"/>
  <c r="K21" i="2"/>
  <c r="K22" i="2" s="1"/>
  <c r="Q18" i="2"/>
  <c r="I18" i="2"/>
  <c r="G18" i="2"/>
  <c r="R18" i="2"/>
  <c r="F17" i="2" l="1"/>
  <c r="E22" i="2"/>
  <c r="R21" i="2"/>
  <c r="J21" i="2"/>
  <c r="J22" i="2" s="1"/>
  <c r="S18" i="2"/>
  <c r="U18" i="2" s="1"/>
  <c r="F22" i="2" l="1"/>
  <c r="I17" i="2"/>
  <c r="I22" i="2" s="1"/>
  <c r="G17" i="2"/>
  <c r="R17" i="2"/>
  <c r="R22" i="2" s="1"/>
  <c r="S21" i="2"/>
  <c r="U21" i="2" s="1"/>
  <c r="G22" i="2" l="1"/>
  <c r="Q17" i="2"/>
  <c r="Q22" i="2" s="1"/>
  <c r="S17" i="2" l="1"/>
  <c r="S22" i="2" s="1"/>
  <c r="U17" i="2" l="1"/>
  <c r="D30" i="2"/>
  <c r="E30" i="2" s="1"/>
  <c r="F30" i="2" l="1"/>
  <c r="H30" i="2" l="1"/>
  <c r="L30" i="2"/>
  <c r="I30" i="2"/>
  <c r="K30" i="2"/>
  <c r="G30" i="2"/>
  <c r="Q30" i="2" s="1"/>
  <c r="J30" i="2" l="1"/>
  <c r="R30" i="2"/>
  <c r="S30" i="2" l="1"/>
  <c r="U30" i="2" s="1"/>
  <c r="C37" i="2" l="1"/>
  <c r="C38" i="2" s="1"/>
  <c r="C14" i="2"/>
  <c r="P81" i="2"/>
  <c r="P91" i="2" s="1"/>
  <c r="O81" i="2"/>
  <c r="O91" i="2" s="1"/>
  <c r="N81" i="2"/>
  <c r="N91" i="2" s="1"/>
  <c r="M81" i="2"/>
  <c r="M91" i="2" s="1"/>
  <c r="C81" i="2"/>
  <c r="C91" i="2" s="1"/>
  <c r="B81" i="2"/>
  <c r="B91" i="2" s="1"/>
  <c r="D80" i="2"/>
  <c r="D79" i="2"/>
  <c r="E79" i="2" s="1"/>
  <c r="F79" i="2" s="1"/>
  <c r="Q79" i="2" s="1"/>
  <c r="D78" i="2"/>
  <c r="E78" i="2" s="1"/>
  <c r="F78" i="2" s="1"/>
  <c r="Q78" i="2" s="1"/>
  <c r="D77" i="2"/>
  <c r="D76" i="2"/>
  <c r="D75" i="2"/>
  <c r="E75" i="2" s="1"/>
  <c r="F75" i="2" s="1"/>
  <c r="Q75" i="2" s="1"/>
  <c r="D74" i="2"/>
  <c r="E74" i="2" s="1"/>
  <c r="P37" i="2"/>
  <c r="P38" i="2" s="1"/>
  <c r="O37" i="2"/>
  <c r="O38" i="2" s="1"/>
  <c r="N37" i="2"/>
  <c r="N38" i="2" s="1"/>
  <c r="M37" i="2"/>
  <c r="M38" i="2" s="1"/>
  <c r="B37" i="2"/>
  <c r="B38" i="2" s="1"/>
  <c r="D36" i="2"/>
  <c r="E36" i="2" s="1"/>
  <c r="D35" i="2"/>
  <c r="E35" i="2" s="1"/>
  <c r="D34" i="2"/>
  <c r="E34" i="2" s="1"/>
  <c r="D33" i="2"/>
  <c r="E33" i="2" s="1"/>
  <c r="D32" i="2"/>
  <c r="E32" i="2" s="1"/>
  <c r="D31" i="2"/>
  <c r="E31" i="2" s="1"/>
  <c r="D29" i="2"/>
  <c r="E29" i="2" s="1"/>
  <c r="D28" i="2"/>
  <c r="E28" i="2" s="1"/>
  <c r="D27" i="2"/>
  <c r="E27" i="2" s="1"/>
  <c r="D26" i="2"/>
  <c r="P14" i="2"/>
  <c r="O14" i="2"/>
  <c r="N14" i="2"/>
  <c r="M14" i="2"/>
  <c r="B14" i="2"/>
  <c r="D13" i="2"/>
  <c r="E13" i="2" s="1"/>
  <c r="F13" i="2" s="1"/>
  <c r="Q13" i="2" s="1"/>
  <c r="D12" i="2"/>
  <c r="E12" i="2" s="1"/>
  <c r="F12" i="2" s="1"/>
  <c r="Q12" i="2" s="1"/>
  <c r="D11" i="2"/>
  <c r="D10" i="2"/>
  <c r="E10" i="2" s="1"/>
  <c r="B23" i="2" l="1"/>
  <c r="B93" i="2" s="1"/>
  <c r="B92" i="2"/>
  <c r="P23" i="2"/>
  <c r="P93" i="2" s="1"/>
  <c r="P92" i="2"/>
  <c r="C23" i="2"/>
  <c r="C93" i="2" s="1"/>
  <c r="C92" i="2"/>
  <c r="O23" i="2"/>
  <c r="O93" i="2" s="1"/>
  <c r="O92" i="2"/>
  <c r="M23" i="2"/>
  <c r="M93" i="2" s="1"/>
  <c r="M92" i="2"/>
  <c r="N23" i="2"/>
  <c r="N93" i="2" s="1"/>
  <c r="N92" i="2"/>
  <c r="C90" i="2"/>
  <c r="P90" i="2"/>
  <c r="B90" i="2"/>
  <c r="M90" i="2"/>
  <c r="O90" i="2"/>
  <c r="E11" i="2"/>
  <c r="F11" i="2" s="1"/>
  <c r="Q11" i="2" s="1"/>
  <c r="D37" i="2"/>
  <c r="D38" i="2" s="1"/>
  <c r="N90" i="2"/>
  <c r="E26" i="2"/>
  <c r="E37" i="2" s="1"/>
  <c r="E38" i="2" s="1"/>
  <c r="D81" i="2"/>
  <c r="D91" i="2" s="1"/>
  <c r="E76" i="2"/>
  <c r="E80" i="2"/>
  <c r="F80" i="2" s="1"/>
  <c r="Q80" i="2" s="1"/>
  <c r="K12" i="2"/>
  <c r="G12" i="2"/>
  <c r="K75" i="2"/>
  <c r="G75" i="2"/>
  <c r="K13" i="2"/>
  <c r="G13" i="2"/>
  <c r="K78" i="2"/>
  <c r="G78" i="2"/>
  <c r="F10" i="2"/>
  <c r="H10" i="2" s="1"/>
  <c r="K79" i="2"/>
  <c r="G79" i="2"/>
  <c r="D14" i="2"/>
  <c r="F27" i="2"/>
  <c r="L27" i="2" s="1"/>
  <c r="F29" i="2"/>
  <c r="K29" i="2" s="1"/>
  <c r="F32" i="2"/>
  <c r="F34" i="2"/>
  <c r="F36" i="2"/>
  <c r="E77" i="2"/>
  <c r="F77" i="2" s="1"/>
  <c r="Q77" i="2" s="1"/>
  <c r="F28" i="2"/>
  <c r="L28" i="2" s="1"/>
  <c r="F31" i="2"/>
  <c r="F33" i="2"/>
  <c r="F35" i="2"/>
  <c r="Q35" i="2" s="1"/>
  <c r="F74" i="2"/>
  <c r="H12" i="2"/>
  <c r="L12" i="2"/>
  <c r="H13" i="2"/>
  <c r="L13" i="2"/>
  <c r="H75" i="2"/>
  <c r="L75" i="2"/>
  <c r="H78" i="2"/>
  <c r="L78" i="2"/>
  <c r="H79" i="2"/>
  <c r="L79" i="2"/>
  <c r="I12" i="2"/>
  <c r="I13" i="2"/>
  <c r="I75" i="2"/>
  <c r="I78" i="2"/>
  <c r="I79" i="2"/>
  <c r="D23" i="2" l="1"/>
  <c r="D93" i="2" s="1"/>
  <c r="D92" i="2"/>
  <c r="G32" i="2"/>
  <c r="Q32" i="2"/>
  <c r="I74" i="2"/>
  <c r="Q74" i="2"/>
  <c r="G36" i="2"/>
  <c r="Q36" i="2"/>
  <c r="I34" i="2"/>
  <c r="Q34" i="2"/>
  <c r="K33" i="2"/>
  <c r="Q33" i="2"/>
  <c r="I31" i="2"/>
  <c r="Q31" i="2"/>
  <c r="L10" i="2"/>
  <c r="I27" i="2"/>
  <c r="I36" i="2"/>
  <c r="G27" i="2"/>
  <c r="Q27" i="2" s="1"/>
  <c r="G33" i="2"/>
  <c r="D90" i="2"/>
  <c r="F26" i="2"/>
  <c r="F37" i="2" s="1"/>
  <c r="F38" i="2" s="1"/>
  <c r="H31" i="2"/>
  <c r="J31" i="2" s="1"/>
  <c r="H34" i="2"/>
  <c r="J34" i="2" s="1"/>
  <c r="G31" i="2"/>
  <c r="I29" i="2"/>
  <c r="L29" i="2"/>
  <c r="L36" i="2"/>
  <c r="G35" i="2"/>
  <c r="K35" i="2"/>
  <c r="L74" i="2"/>
  <c r="H35" i="2"/>
  <c r="J35" i="2" s="1"/>
  <c r="G28" i="2"/>
  <c r="Q28" i="2" s="1"/>
  <c r="L35" i="2"/>
  <c r="G34" i="2"/>
  <c r="E81" i="2"/>
  <c r="E91" i="2" s="1"/>
  <c r="K80" i="2"/>
  <c r="G80" i="2"/>
  <c r="H80" i="2"/>
  <c r="R80" i="2" s="1"/>
  <c r="L80" i="2"/>
  <c r="I80" i="2"/>
  <c r="G11" i="2"/>
  <c r="I11" i="2"/>
  <c r="K11" i="2"/>
  <c r="H11" i="2"/>
  <c r="J11" i="2" s="1"/>
  <c r="L11" i="2"/>
  <c r="G29" i="2"/>
  <c r="Q29" i="2" s="1"/>
  <c r="F76" i="2"/>
  <c r="I32" i="2"/>
  <c r="H33" i="2"/>
  <c r="J33" i="2" s="1"/>
  <c r="I33" i="2"/>
  <c r="L31" i="2"/>
  <c r="K31" i="2"/>
  <c r="K32" i="2"/>
  <c r="H74" i="2"/>
  <c r="J74" i="2" s="1"/>
  <c r="I28" i="2"/>
  <c r="K36" i="2"/>
  <c r="L32" i="2"/>
  <c r="H29" i="2"/>
  <c r="J29" i="2" s="1"/>
  <c r="E14" i="2"/>
  <c r="G77" i="2"/>
  <c r="K77" i="2"/>
  <c r="H77" i="2"/>
  <c r="J77" i="2" s="1"/>
  <c r="L77" i="2"/>
  <c r="I77" i="2"/>
  <c r="F14" i="2"/>
  <c r="I35" i="2"/>
  <c r="H28" i="2"/>
  <c r="R28" i="2" s="1"/>
  <c r="K28" i="2"/>
  <c r="L34" i="2"/>
  <c r="K34" i="2"/>
  <c r="H27" i="2"/>
  <c r="J27" i="2" s="1"/>
  <c r="K27" i="2"/>
  <c r="L33" i="2"/>
  <c r="H36" i="2"/>
  <c r="J36" i="2" s="1"/>
  <c r="H32" i="2"/>
  <c r="J32" i="2" s="1"/>
  <c r="I10" i="2"/>
  <c r="K10" i="2"/>
  <c r="G10" i="2"/>
  <c r="Q10" i="2" s="1"/>
  <c r="K74" i="2"/>
  <c r="G74" i="2"/>
  <c r="L26" i="2"/>
  <c r="R75" i="2"/>
  <c r="J75" i="2"/>
  <c r="R34" i="2"/>
  <c r="R78" i="2"/>
  <c r="J78" i="2"/>
  <c r="R13" i="2"/>
  <c r="J13" i="2"/>
  <c r="R10" i="2"/>
  <c r="J10" i="2"/>
  <c r="R79" i="2"/>
  <c r="J79" i="2"/>
  <c r="R12" i="2"/>
  <c r="J12" i="2"/>
  <c r="E92" i="2" l="1"/>
  <c r="F23" i="2"/>
  <c r="E90" i="2"/>
  <c r="E23" i="2"/>
  <c r="E93" i="2" s="1"/>
  <c r="R33" i="2"/>
  <c r="S33" i="2" s="1"/>
  <c r="U33" i="2" s="1"/>
  <c r="I26" i="2"/>
  <c r="K26" i="2"/>
  <c r="F81" i="2"/>
  <c r="Q76" i="2"/>
  <c r="Q81" i="2" s="1"/>
  <c r="Q91" i="2" s="1"/>
  <c r="R31" i="2"/>
  <c r="S31" i="2" s="1"/>
  <c r="U31" i="2" s="1"/>
  <c r="L14" i="2"/>
  <c r="R36" i="2"/>
  <c r="S36" i="2" s="1"/>
  <c r="U36" i="2" s="1"/>
  <c r="R35" i="2"/>
  <c r="S35" i="2" s="1"/>
  <c r="U35" i="2" s="1"/>
  <c r="R29" i="2"/>
  <c r="S29" i="2" s="1"/>
  <c r="U29" i="2" s="1"/>
  <c r="H26" i="2"/>
  <c r="R26" i="2" s="1"/>
  <c r="G26" i="2"/>
  <c r="R77" i="2"/>
  <c r="S77" i="2" s="1"/>
  <c r="U77" i="2" s="1"/>
  <c r="S79" i="2"/>
  <c r="U79" i="2" s="1"/>
  <c r="R11" i="2"/>
  <c r="S11" i="2" s="1"/>
  <c r="U11" i="2" s="1"/>
  <c r="H14" i="2"/>
  <c r="R32" i="2"/>
  <c r="S32" i="2" s="1"/>
  <c r="U32" i="2" s="1"/>
  <c r="S78" i="2"/>
  <c r="U78" i="2" s="1"/>
  <c r="S12" i="2"/>
  <c r="U12" i="2" s="1"/>
  <c r="J80" i="2"/>
  <c r="S80" i="2" s="1"/>
  <c r="U80" i="2" s="1"/>
  <c r="S34" i="2"/>
  <c r="U34" i="2" s="1"/>
  <c r="I14" i="2"/>
  <c r="R74" i="2"/>
  <c r="S74" i="2" s="1"/>
  <c r="U74" i="2" s="1"/>
  <c r="J28" i="2"/>
  <c r="S28" i="2" s="1"/>
  <c r="U28" i="2" s="1"/>
  <c r="S13" i="2"/>
  <c r="U13" i="2" s="1"/>
  <c r="I37" i="2"/>
  <c r="I38" i="2" s="1"/>
  <c r="K14" i="2"/>
  <c r="K76" i="2"/>
  <c r="K81" i="2" s="1"/>
  <c r="K91" i="2" s="1"/>
  <c r="G76" i="2"/>
  <c r="G81" i="2" s="1"/>
  <c r="G91" i="2" s="1"/>
  <c r="H76" i="2"/>
  <c r="I76" i="2"/>
  <c r="I81" i="2" s="1"/>
  <c r="I91" i="2" s="1"/>
  <c r="L76" i="2"/>
  <c r="L81" i="2" s="1"/>
  <c r="L91" i="2" s="1"/>
  <c r="G14" i="2"/>
  <c r="R27" i="2"/>
  <c r="S27" i="2" s="1"/>
  <c r="U27" i="2" s="1"/>
  <c r="S75" i="2"/>
  <c r="U75" i="2" s="1"/>
  <c r="L37" i="2"/>
  <c r="L38" i="2" s="1"/>
  <c r="K37" i="2"/>
  <c r="K38" i="2" s="1"/>
  <c r="H23" i="2" l="1"/>
  <c r="L23" i="2"/>
  <c r="L93" i="2" s="1"/>
  <c r="L92" i="2"/>
  <c r="I23" i="2"/>
  <c r="I93" i="2" s="1"/>
  <c r="I92" i="2"/>
  <c r="K23" i="2"/>
  <c r="K93" i="2" s="1"/>
  <c r="K92" i="2"/>
  <c r="G23" i="2"/>
  <c r="F90" i="2"/>
  <c r="F91" i="2"/>
  <c r="F92" i="2" s="1"/>
  <c r="T34" i="2"/>
  <c r="T37" i="2"/>
  <c r="U37" i="2"/>
  <c r="T36" i="2"/>
  <c r="G37" i="2"/>
  <c r="Q26" i="2"/>
  <c r="Q37" i="2" s="1"/>
  <c r="Q38" i="2" s="1"/>
  <c r="H37" i="2"/>
  <c r="H38" i="2" s="1"/>
  <c r="J26" i="2"/>
  <c r="J37" i="2" s="1"/>
  <c r="J38" i="2" s="1"/>
  <c r="R14" i="2"/>
  <c r="Q14" i="2"/>
  <c r="L90" i="2"/>
  <c r="I90" i="2"/>
  <c r="R76" i="2"/>
  <c r="J76" i="2"/>
  <c r="J81" i="2" s="1"/>
  <c r="J91" i="2" s="1"/>
  <c r="H81" i="2"/>
  <c r="H91" i="2" s="1"/>
  <c r="J14" i="2"/>
  <c r="K90" i="2"/>
  <c r="R37" i="2"/>
  <c r="R38" i="2" s="1"/>
  <c r="S10" i="2"/>
  <c r="U10" i="2" s="1"/>
  <c r="H92" i="2" l="1"/>
  <c r="H93" i="2"/>
  <c r="F93" i="2"/>
  <c r="J23" i="2"/>
  <c r="J93" i="2" s="1"/>
  <c r="J92" i="2"/>
  <c r="Q23" i="2"/>
  <c r="Q93" i="2" s="1"/>
  <c r="Q92" i="2"/>
  <c r="R23" i="2"/>
  <c r="G90" i="2"/>
  <c r="G38" i="2"/>
  <c r="G92" i="2" s="1"/>
  <c r="H90" i="2"/>
  <c r="Q90" i="2"/>
  <c r="S26" i="2"/>
  <c r="U26" i="2" s="1"/>
  <c r="S14" i="2"/>
  <c r="S23" i="2" s="1"/>
  <c r="J90" i="2"/>
  <c r="S76" i="2"/>
  <c r="U76" i="2" s="1"/>
  <c r="R81" i="2"/>
  <c r="G93" i="2" l="1"/>
  <c r="R90" i="2"/>
  <c r="R91" i="2"/>
  <c r="R92" i="2" s="1"/>
  <c r="S37" i="2"/>
  <c r="S38" i="2" s="1"/>
  <c r="S81" i="2"/>
  <c r="S91" i="2" s="1"/>
  <c r="S92" i="2" l="1"/>
  <c r="S93" i="2"/>
  <c r="R93" i="2"/>
  <c r="S90" i="2"/>
</calcChain>
</file>

<file path=xl/sharedStrings.xml><?xml version="1.0" encoding="utf-8"?>
<sst xmlns="http://schemas.openxmlformats.org/spreadsheetml/2006/main" count="119" uniqueCount="85">
  <si>
    <t xml:space="preserve">Итого фонд оплаты труда </t>
  </si>
  <si>
    <t>(подпись)</t>
  </si>
  <si>
    <t>(расшифровка подписи)</t>
  </si>
  <si>
    <t>(телефон)</t>
  </si>
  <si>
    <t>(должность ответственного за расчет)</t>
  </si>
  <si>
    <t>Руководитель финансового органа</t>
  </si>
  <si>
    <t xml:space="preserve">Наименование муниципальных должностей , должностей муниципальной службы, должностей и профессий работников, осуществляющих техническое обеспечение деятельности </t>
  </si>
  <si>
    <t>Количество единиц</t>
  </si>
  <si>
    <t xml:space="preserve">Долж ностной оклад (тарифная ставка) </t>
  </si>
  <si>
    <t xml:space="preserve">Сумма долж- ностных  окладов (тарифных ставок) </t>
  </si>
  <si>
    <t>Районный коэффициент</t>
  </si>
  <si>
    <t>Итого в месяц (гр.4+гр.5)</t>
  </si>
  <si>
    <t>Итого за год (гр.6х12)</t>
  </si>
  <si>
    <t>Классный чин</t>
  </si>
  <si>
    <t xml:space="preserve">Выслуга лет </t>
  </si>
  <si>
    <t>Премия</t>
  </si>
  <si>
    <t xml:space="preserve">Надбавка за особые условия  службы </t>
  </si>
  <si>
    <t xml:space="preserve">Надбавка за за сложность, напряженность и высокие достижения в труде </t>
  </si>
  <si>
    <t>Надбавка за ненормированный рабочий день</t>
  </si>
  <si>
    <t>Доплаты за классность</t>
  </si>
  <si>
    <t>Доплата за работу во вредных и опасных условиях</t>
  </si>
  <si>
    <t>Денежное поощрение</t>
  </si>
  <si>
    <t xml:space="preserve">Материальная помощь      </t>
  </si>
  <si>
    <t>Раздел I "Должностные лица, замещающие муниципальные должности , и муниципальные служащие, замещающие должности муниципальной службы</t>
  </si>
  <si>
    <t>Секретарь Совета</t>
  </si>
  <si>
    <t>Начальник отдела</t>
  </si>
  <si>
    <t>Председатель КСП</t>
  </si>
  <si>
    <t>Заместитель председателя КСП</t>
  </si>
  <si>
    <t>Главный специалист</t>
  </si>
  <si>
    <t>Ведущий специалист</t>
  </si>
  <si>
    <t>Итого</t>
  </si>
  <si>
    <t>В Администрации городского округа</t>
  </si>
  <si>
    <t>Глава администрации</t>
  </si>
  <si>
    <t>Первый зам.главы</t>
  </si>
  <si>
    <t>Зам.главы</t>
  </si>
  <si>
    <t>Управ делами</t>
  </si>
  <si>
    <t>Зам.нач управ-ния</t>
  </si>
  <si>
    <t>Зам.нач. отдела</t>
  </si>
  <si>
    <t>Зав. сектором</t>
  </si>
  <si>
    <t>Глав. специалист</t>
  </si>
  <si>
    <t>Ведущ. специалист</t>
  </si>
  <si>
    <t>Глава админист</t>
  </si>
  <si>
    <t>Пом.главы админ</t>
  </si>
  <si>
    <t>Нач-ник упр-ния</t>
  </si>
  <si>
    <t>Специал. I катег.</t>
  </si>
  <si>
    <t>Специал. II катег.</t>
  </si>
  <si>
    <t xml:space="preserve">Раздел II "Служащие" </t>
  </si>
  <si>
    <t>Завхоз</t>
  </si>
  <si>
    <t>Комендант</t>
  </si>
  <si>
    <t>………</t>
  </si>
  <si>
    <t>Раздел III "Рабочие"</t>
  </si>
  <si>
    <t>Уборщик террит-и</t>
  </si>
  <si>
    <t>Слесарь сантехник</t>
  </si>
  <si>
    <t>Раздел IV "Водители автомобилей"</t>
  </si>
  <si>
    <t>Водитель 1 класса</t>
  </si>
  <si>
    <t>Водитель 2 класса</t>
  </si>
  <si>
    <t>Всего</t>
  </si>
  <si>
    <t xml:space="preserve">кроме того, работники, осуществляющие государственные полномочия Республики Башкортостан:  </t>
  </si>
  <si>
    <t>Начальник управления</t>
  </si>
  <si>
    <t>Зам. начальника управления</t>
  </si>
  <si>
    <t>Зам.председателя адм.комиссии</t>
  </si>
  <si>
    <t>Заведующий сектором</t>
  </si>
  <si>
    <t>Водитель 3 класса</t>
  </si>
  <si>
    <t>Зиганшина Г.Р.</t>
  </si>
  <si>
    <t>8(3473)24-16-23</t>
  </si>
  <si>
    <t>ИТОГО ФОТ на 2022 год</t>
  </si>
  <si>
    <t>В Совете</t>
  </si>
  <si>
    <t>В КСП</t>
  </si>
  <si>
    <t>Всего по 0103</t>
  </si>
  <si>
    <t>Всего по 0104</t>
  </si>
  <si>
    <t>кроме того, работники, осуществляющие государственные полномочия в территориальном органе администрации городского округа (Опека, Административная коммисия, КДН)</t>
  </si>
  <si>
    <t>Всего по ГО г.Стерлитамак                       (в том числе председ. КСП и зам.КСП)</t>
  </si>
  <si>
    <t>Должности Председателя и заместителя председателя Контрольно-счетной палаты</t>
  </si>
  <si>
    <t>Итого по субсенциям</t>
  </si>
  <si>
    <t>ВСЕГО  с субвенциями</t>
  </si>
  <si>
    <t>Надбавка должно-стным лицам, допущенным к государственной тайне</t>
  </si>
  <si>
    <t>Зам.председателя комиссии (КДН)</t>
  </si>
  <si>
    <t>Аудитор</t>
  </si>
  <si>
    <t>Приложение № 5</t>
  </si>
  <si>
    <t>РАСЧЕТ фонда оплаты труда органов местного самоуправления Республики Башкортостан</t>
  </si>
  <si>
    <r>
      <t xml:space="preserve">по </t>
    </r>
    <r>
      <rPr>
        <i/>
        <sz val="18"/>
        <rFont val="Times New Roman"/>
        <family val="1"/>
        <charset val="204"/>
      </rPr>
      <t>городскому округу город Стерлитамак Республики Башкортостан</t>
    </r>
  </si>
  <si>
    <t>к письму Министерства финансов Республики Башкортостан от 23 октября 2024 года № М16-03-13-248</t>
  </si>
  <si>
    <t>на 2025 год и на плановый период 2026 и 2027 годов</t>
  </si>
  <si>
    <t>Ведущий  экономист</t>
  </si>
  <si>
    <t>Галина Н.А.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</si>
</sst>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6"/>
      <name val="Times New Roman"/>
      <family val="1"/>
    </font>
    <font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i/>
      <sz val="18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 applyFill="1" applyProtection="1">
      <protection locked="0"/>
    </xf>
    <xf numFmtId="0" fontId="1" fillId="0" borderId="0" xfId="0" applyFont="1" applyFill="1"/>
    <xf numFmtId="0" fontId="2" fillId="0" borderId="0" xfId="0" applyFont="1" applyFill="1"/>
    <xf numFmtId="3" fontId="7" fillId="2" borderId="0" xfId="0" applyNumberFormat="1" applyFont="1" applyFill="1" applyBorder="1" applyAlignment="1" applyProtection="1">
      <alignment horizontal="center" wrapText="1"/>
      <protection locked="0"/>
    </xf>
    <xf numFmtId="164" fontId="0" fillId="0" borderId="0" xfId="0" applyNumberFormat="1"/>
    <xf numFmtId="0" fontId="0" fillId="2" borderId="0" xfId="0" applyFill="1"/>
    <xf numFmtId="4" fontId="0" fillId="0" borderId="0" xfId="0" applyNumberFormat="1"/>
    <xf numFmtId="0" fontId="0" fillId="3" borderId="0" xfId="0" applyFill="1"/>
    <xf numFmtId="4" fontId="0" fillId="2" borderId="0" xfId="0" applyNumberFormat="1" applyFill="1"/>
    <xf numFmtId="3" fontId="8" fillId="2" borderId="1" xfId="0" applyNumberFormat="1" applyFont="1" applyFill="1" applyBorder="1" applyAlignment="1" applyProtection="1">
      <alignment horizontal="left" wrapText="1"/>
      <protection locked="0"/>
    </xf>
    <xf numFmtId="3" fontId="8" fillId="0" borderId="1" xfId="0" applyNumberFormat="1" applyFont="1" applyFill="1" applyBorder="1" applyAlignment="1" applyProtection="1">
      <alignment horizontal="center" wrapText="1"/>
      <protection locked="0"/>
    </xf>
    <xf numFmtId="3" fontId="8" fillId="2" borderId="1" xfId="0" applyNumberFormat="1" applyFont="1" applyFill="1" applyBorder="1" applyAlignment="1" applyProtection="1">
      <alignment horizontal="center" wrapText="1"/>
      <protection locked="0"/>
    </xf>
    <xf numFmtId="3" fontId="7" fillId="2" borderId="1" xfId="0" applyNumberFormat="1" applyFont="1" applyFill="1" applyBorder="1" applyAlignment="1" applyProtection="1">
      <alignment vertical="top" wrapText="1"/>
      <protection locked="0"/>
    </xf>
    <xf numFmtId="3" fontId="7" fillId="2" borderId="1" xfId="0" applyNumberFormat="1" applyFont="1" applyFill="1" applyBorder="1" applyAlignment="1" applyProtection="1">
      <alignment horizontal="center" wrapText="1"/>
      <protection locked="0"/>
    </xf>
    <xf numFmtId="3" fontId="7" fillId="0" borderId="1" xfId="0" applyNumberFormat="1" applyFont="1" applyFill="1" applyBorder="1" applyAlignment="1" applyProtection="1">
      <alignment horizontal="center" wrapText="1"/>
      <protection locked="0"/>
    </xf>
    <xf numFmtId="3" fontId="7" fillId="4" borderId="1" xfId="0" applyNumberFormat="1" applyFont="1" applyFill="1" applyBorder="1" applyAlignment="1" applyProtection="1">
      <alignment horizontal="center" wrapText="1"/>
      <protection locked="0"/>
    </xf>
    <xf numFmtId="3" fontId="8" fillId="0" borderId="1" xfId="0" applyNumberFormat="1" applyFont="1" applyFill="1" applyBorder="1" applyAlignment="1">
      <alignment horizontal="center"/>
    </xf>
    <xf numFmtId="3" fontId="8" fillId="2" borderId="1" xfId="0" applyNumberFormat="1" applyFont="1" applyFill="1" applyBorder="1" applyAlignment="1" applyProtection="1">
      <alignment horizontal="left" vertical="top" wrapText="1"/>
      <protection locked="0"/>
    </xf>
    <xf numFmtId="3" fontId="11" fillId="2" borderId="1" xfId="0" applyNumberFormat="1" applyFont="1" applyFill="1" applyBorder="1" applyProtection="1">
      <protection locked="0"/>
    </xf>
    <xf numFmtId="3" fontId="8" fillId="2" borderId="3" xfId="0" applyNumberFormat="1" applyFont="1" applyFill="1" applyBorder="1" applyAlignment="1" applyProtection="1">
      <alignment horizontal="left" wrapText="1"/>
      <protection locked="0"/>
    </xf>
    <xf numFmtId="3" fontId="7" fillId="2" borderId="1" xfId="0" applyNumberFormat="1" applyFont="1" applyFill="1" applyBorder="1" applyAlignment="1" applyProtection="1">
      <alignment horizontal="left" vertical="top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3" fontId="7" fillId="2" borderId="0" xfId="0" applyNumberFormat="1" applyFont="1" applyFill="1" applyBorder="1" applyAlignment="1" applyProtection="1">
      <alignment horizontal="left" vertical="top" wrapText="1"/>
      <protection locked="0"/>
    </xf>
    <xf numFmtId="3" fontId="7" fillId="0" borderId="0" xfId="0" applyNumberFormat="1" applyFont="1" applyFill="1" applyBorder="1" applyAlignment="1" applyProtection="1">
      <alignment horizontal="center" wrapText="1"/>
      <protection locked="0"/>
    </xf>
    <xf numFmtId="0" fontId="12" fillId="0" borderId="0" xfId="0" applyFont="1"/>
    <xf numFmtId="0" fontId="12" fillId="0" borderId="2" xfId="0" applyFont="1" applyBorder="1"/>
    <xf numFmtId="0" fontId="3" fillId="0" borderId="0" xfId="0" applyFont="1"/>
    <xf numFmtId="0" fontId="3" fillId="0" borderId="0" xfId="0" applyFont="1" applyFill="1"/>
    <xf numFmtId="3" fontId="7" fillId="0" borderId="1" xfId="0" applyNumberFormat="1" applyFont="1" applyFill="1" applyBorder="1" applyAlignment="1" applyProtection="1">
      <alignment vertical="top" wrapText="1"/>
      <protection locked="0"/>
    </xf>
    <xf numFmtId="0" fontId="0" fillId="0" borderId="0" xfId="0" applyFill="1"/>
    <xf numFmtId="4" fontId="0" fillId="0" borderId="0" xfId="0" applyNumberFormat="1" applyFill="1"/>
    <xf numFmtId="164" fontId="0" fillId="0" borderId="0" xfId="0" applyNumberFormat="1" applyFill="1"/>
    <xf numFmtId="3" fontId="7" fillId="0" borderId="1" xfId="0" applyNumberFormat="1" applyFont="1" applyFill="1" applyBorder="1" applyAlignment="1" applyProtection="1">
      <alignment horizontal="left" vertical="top" wrapText="1"/>
      <protection locked="0"/>
    </xf>
    <xf numFmtId="3" fontId="7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Alignment="1"/>
    <xf numFmtId="0" fontId="14" fillId="0" borderId="0" xfId="0" applyFont="1"/>
    <xf numFmtId="0" fontId="14" fillId="0" borderId="0" xfId="0" applyFont="1" applyAlignment="1"/>
    <xf numFmtId="0" fontId="14" fillId="0" borderId="0" xfId="0" applyFont="1" applyAlignment="1">
      <alignment horizontal="center" vertical="top"/>
    </xf>
    <xf numFmtId="3" fontId="8" fillId="2" borderId="3" xfId="0" applyNumberFormat="1" applyFont="1" applyFill="1" applyBorder="1" applyAlignment="1" applyProtection="1">
      <alignment horizontal="center" vertical="top" wrapText="1"/>
      <protection locked="0"/>
    </xf>
    <xf numFmtId="3" fontId="8" fillId="2" borderId="4" xfId="0" applyNumberFormat="1" applyFont="1" applyFill="1" applyBorder="1" applyAlignment="1" applyProtection="1">
      <alignment horizontal="center" vertical="top" wrapText="1"/>
      <protection locked="0"/>
    </xf>
    <xf numFmtId="3" fontId="8" fillId="2" borderId="5" xfId="0" applyNumberFormat="1" applyFont="1" applyFill="1" applyBorder="1" applyAlignment="1" applyProtection="1">
      <alignment horizontal="center" vertical="top" wrapText="1"/>
      <protection locked="0"/>
    </xf>
    <xf numFmtId="3" fontId="7" fillId="2" borderId="3" xfId="0" applyNumberFormat="1" applyFont="1" applyFill="1" applyBorder="1" applyAlignment="1" applyProtection="1">
      <alignment horizontal="center" wrapText="1"/>
      <protection locked="0"/>
    </xf>
    <xf numFmtId="3" fontId="7" fillId="2" borderId="4" xfId="0" applyNumberFormat="1" applyFont="1" applyFill="1" applyBorder="1" applyAlignment="1" applyProtection="1">
      <alignment horizontal="center" wrapText="1"/>
      <protection locked="0"/>
    </xf>
    <xf numFmtId="3" fontId="7" fillId="2" borderId="5" xfId="0" applyNumberFormat="1" applyFont="1" applyFill="1" applyBorder="1" applyAlignment="1" applyProtection="1">
      <alignment horizontal="center" wrapText="1"/>
      <protection locked="0"/>
    </xf>
    <xf numFmtId="0" fontId="9" fillId="0" borderId="0" xfId="0" applyFont="1" applyAlignment="1"/>
    <xf numFmtId="3" fontId="7" fillId="2" borderId="3" xfId="0" applyNumberFormat="1" applyFont="1" applyFill="1" applyBorder="1" applyAlignment="1" applyProtection="1">
      <alignment horizontal="center" vertical="top" wrapText="1"/>
      <protection locked="0"/>
    </xf>
    <xf numFmtId="0" fontId="10" fillId="0" borderId="4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3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3" fontId="7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7" fillId="2" borderId="5" xfId="0" applyNumberFormat="1" applyFont="1" applyFill="1" applyBorder="1" applyAlignment="1" applyProtection="1">
      <alignment horizontal="center" vertical="center" wrapText="1"/>
      <protection locked="0"/>
    </xf>
    <xf numFmtId="3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3" fontId="8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8" fillId="2" borderId="5" xfId="0" applyNumberFormat="1" applyFont="1" applyFill="1" applyBorder="1" applyAlignment="1" applyProtection="1">
      <alignment horizontal="center" vertical="center" wrapText="1"/>
      <protection locked="0"/>
    </xf>
    <xf numFmtId="3" fontId="8" fillId="2" borderId="3" xfId="0" applyNumberFormat="1" applyFont="1" applyFill="1" applyBorder="1" applyAlignment="1" applyProtection="1">
      <alignment horizontal="center" wrapText="1"/>
      <protection locked="0"/>
    </xf>
    <xf numFmtId="3" fontId="8" fillId="2" borderId="4" xfId="0" applyNumberFormat="1" applyFont="1" applyFill="1" applyBorder="1" applyAlignment="1" applyProtection="1">
      <alignment horizontal="center" wrapText="1"/>
      <protection locked="0"/>
    </xf>
    <xf numFmtId="3" fontId="8" fillId="2" borderId="5" xfId="0" applyNumberFormat="1" applyFont="1" applyFill="1" applyBorder="1" applyAlignment="1" applyProtection="1">
      <alignment horizontal="center" wrapText="1"/>
      <protection locked="0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3" fillId="0" borderId="2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FF3300"/>
      <color rgb="FFCC0000"/>
      <color rgb="FFFFFF66"/>
      <color rgb="FFCCFF33"/>
      <color rgb="FF99FF33"/>
      <color rgb="FFE4BAD6"/>
      <color rgb="FF66CCFF"/>
      <color rgb="FF66FF66"/>
      <color rgb="FF66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5"/>
  <sheetViews>
    <sheetView tabSelected="1" view="pageBreakPreview" topLeftCell="I16" zoomScale="71" zoomScaleNormal="59" zoomScaleSheetLayoutView="71" workbookViewId="0">
      <selection activeCell="S92" sqref="S92"/>
    </sheetView>
  </sheetViews>
  <sheetFormatPr defaultRowHeight="15.75" x14ac:dyDescent="0.25"/>
  <cols>
    <col min="1" max="1" width="35.7109375" style="1" customWidth="1"/>
    <col min="2" max="2" width="12" style="5" customWidth="1"/>
    <col min="3" max="3" width="23.28515625" style="5" customWidth="1"/>
    <col min="4" max="4" width="25.5703125" style="1" customWidth="1"/>
    <col min="5" max="5" width="21" style="1" customWidth="1"/>
    <col min="6" max="6" width="21.5703125" style="1" customWidth="1"/>
    <col min="7" max="7" width="23.42578125" style="1" customWidth="1"/>
    <col min="8" max="8" width="24" style="1" customWidth="1"/>
    <col min="9" max="9" width="23.140625" style="1" customWidth="1"/>
    <col min="10" max="10" width="24.42578125" style="1" customWidth="1"/>
    <col min="11" max="11" width="24.7109375" style="1" customWidth="1"/>
    <col min="12" max="12" width="22.42578125" style="1" customWidth="1"/>
    <col min="13" max="13" width="22.28515625" style="1" customWidth="1"/>
    <col min="14" max="14" width="15.42578125" style="1" customWidth="1"/>
    <col min="15" max="15" width="16.140625" style="1" customWidth="1"/>
    <col min="16" max="16" width="14.140625" style="1" customWidth="1"/>
    <col min="17" max="18" width="23.7109375" style="1" customWidth="1"/>
    <col min="19" max="19" width="24.85546875" style="1" customWidth="1"/>
    <col min="20" max="20" width="11.7109375" style="1" hidden="1" customWidth="1"/>
    <col min="21" max="21" width="13.85546875" style="1" customWidth="1"/>
    <col min="22" max="24" width="11.7109375" style="1" customWidth="1"/>
    <col min="25" max="25" width="34.28515625" style="1" customWidth="1"/>
    <col min="26" max="27" width="11.7109375" style="1" customWidth="1"/>
    <col min="28" max="16384" width="9.140625" style="1"/>
  </cols>
  <sheetData>
    <row r="1" spans="1:27" ht="18.75" x14ac:dyDescent="0.3">
      <c r="B1" s="1"/>
      <c r="C1" s="1"/>
      <c r="P1" s="3" t="s">
        <v>78</v>
      </c>
      <c r="Q1" s="3"/>
    </row>
    <row r="2" spans="1:27" ht="36.75" customHeight="1" x14ac:dyDescent="0.3">
      <c r="B2" s="1"/>
      <c r="C2" s="1"/>
      <c r="P2" s="69" t="s">
        <v>81</v>
      </c>
      <c r="Q2" s="70"/>
      <c r="R2" s="70"/>
      <c r="S2" s="70"/>
    </row>
    <row r="3" spans="1:27" s="40" customFormat="1" ht="23.25" x14ac:dyDescent="0.35">
      <c r="A3" s="65" t="s">
        <v>79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39"/>
      <c r="U3" s="39"/>
      <c r="V3" s="39"/>
      <c r="W3" s="39"/>
      <c r="X3" s="39"/>
      <c r="Y3" s="39"/>
      <c r="Z3" s="39"/>
      <c r="AA3" s="39"/>
    </row>
    <row r="4" spans="1:27" s="40" customFormat="1" ht="23.25" x14ac:dyDescent="0.35">
      <c r="A4" s="66" t="s">
        <v>80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41"/>
      <c r="U4" s="41"/>
      <c r="V4" s="41"/>
      <c r="W4" s="41"/>
      <c r="X4" s="41"/>
      <c r="Y4" s="41"/>
      <c r="Z4" s="41"/>
      <c r="AA4" s="41"/>
    </row>
    <row r="5" spans="1:27" s="40" customFormat="1" ht="23.25" x14ac:dyDescent="0.35">
      <c r="A5" s="67" t="s">
        <v>82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42"/>
      <c r="U5" s="42"/>
      <c r="V5" s="42"/>
      <c r="W5" s="42"/>
      <c r="X5" s="42"/>
      <c r="Y5" s="42"/>
      <c r="Z5" s="42"/>
      <c r="AA5" s="42"/>
    </row>
    <row r="6" spans="1:27" s="4" customFormat="1" ht="192.75" customHeight="1" x14ac:dyDescent="0.3">
      <c r="A6" s="25" t="s">
        <v>6</v>
      </c>
      <c r="B6" s="25" t="s">
        <v>7</v>
      </c>
      <c r="C6" s="25" t="s">
        <v>8</v>
      </c>
      <c r="D6" s="25" t="s">
        <v>9</v>
      </c>
      <c r="E6" s="25" t="s">
        <v>10</v>
      </c>
      <c r="F6" s="25" t="s">
        <v>11</v>
      </c>
      <c r="G6" s="25" t="s">
        <v>12</v>
      </c>
      <c r="H6" s="25" t="s">
        <v>13</v>
      </c>
      <c r="I6" s="25" t="s">
        <v>14</v>
      </c>
      <c r="J6" s="25" t="s">
        <v>15</v>
      </c>
      <c r="K6" s="25" t="s">
        <v>75</v>
      </c>
      <c r="L6" s="25" t="s">
        <v>16</v>
      </c>
      <c r="M6" s="25" t="s">
        <v>17</v>
      </c>
      <c r="N6" s="25" t="s">
        <v>18</v>
      </c>
      <c r="O6" s="25" t="s">
        <v>19</v>
      </c>
      <c r="P6" s="25" t="s">
        <v>20</v>
      </c>
      <c r="Q6" s="25" t="s">
        <v>21</v>
      </c>
      <c r="R6" s="25" t="s">
        <v>22</v>
      </c>
      <c r="S6" s="25" t="s">
        <v>0</v>
      </c>
    </row>
    <row r="7" spans="1:27" s="4" customFormat="1" ht="20.25" x14ac:dyDescent="0.3">
      <c r="A7" s="26">
        <v>1</v>
      </c>
      <c r="B7" s="26">
        <v>2</v>
      </c>
      <c r="C7" s="26">
        <v>3</v>
      </c>
      <c r="D7" s="26">
        <v>4</v>
      </c>
      <c r="E7" s="26">
        <v>5</v>
      </c>
      <c r="F7" s="26">
        <v>6</v>
      </c>
      <c r="G7" s="26">
        <v>7</v>
      </c>
      <c r="H7" s="26">
        <v>8</v>
      </c>
      <c r="I7" s="26">
        <v>9</v>
      </c>
      <c r="J7" s="26">
        <v>10</v>
      </c>
      <c r="K7" s="26">
        <v>11</v>
      </c>
      <c r="L7" s="26">
        <v>12</v>
      </c>
      <c r="M7" s="26">
        <v>13</v>
      </c>
      <c r="N7" s="26">
        <v>14</v>
      </c>
      <c r="O7" s="26">
        <v>15</v>
      </c>
      <c r="P7" s="26">
        <v>16</v>
      </c>
      <c r="Q7" s="26">
        <v>17</v>
      </c>
      <c r="R7" s="26">
        <v>18</v>
      </c>
      <c r="S7" s="26">
        <v>19</v>
      </c>
    </row>
    <row r="8" spans="1:27" customFormat="1" ht="29.25" customHeight="1" x14ac:dyDescent="0.25">
      <c r="A8" s="71" t="s">
        <v>66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3"/>
    </row>
    <row r="9" spans="1:27" customFormat="1" ht="26.25" customHeight="1" x14ac:dyDescent="0.25">
      <c r="A9" s="53" t="s">
        <v>23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5"/>
    </row>
    <row r="10" spans="1:27" customFormat="1" ht="20.25" x14ac:dyDescent="0.3">
      <c r="A10" s="13" t="s">
        <v>24</v>
      </c>
      <c r="B10" s="14">
        <v>1</v>
      </c>
      <c r="C10" s="14">
        <v>9518</v>
      </c>
      <c r="D10" s="15">
        <f t="shared" ref="D10:D13" si="0">C10*B10</f>
        <v>9518</v>
      </c>
      <c r="E10" s="15">
        <f t="shared" ref="E10:E13" si="1">SUM(D10*15/100)</f>
        <v>1427.7</v>
      </c>
      <c r="F10" s="15">
        <f t="shared" ref="F10:F13" si="2">D10+E10</f>
        <v>10945.7</v>
      </c>
      <c r="G10" s="15">
        <f t="shared" ref="G10:G13" si="3">F10*12</f>
        <v>131348.40000000002</v>
      </c>
      <c r="H10" s="15">
        <f>F10*4</f>
        <v>43782.8</v>
      </c>
      <c r="I10" s="15">
        <f t="shared" ref="I10:I13" si="4">F10*3</f>
        <v>32837.100000000006</v>
      </c>
      <c r="J10" s="15">
        <f>(H10/12+F10)*2</f>
        <v>29188.533333333336</v>
      </c>
      <c r="K10" s="15">
        <f>F10*1.5</f>
        <v>16418.550000000003</v>
      </c>
      <c r="L10" s="15">
        <f>F10*14</f>
        <v>153239.80000000002</v>
      </c>
      <c r="M10" s="15"/>
      <c r="N10" s="15"/>
      <c r="O10" s="15"/>
      <c r="P10" s="15"/>
      <c r="Q10" s="14">
        <f>G10*5</f>
        <v>656742.00000000012</v>
      </c>
      <c r="R10" s="15">
        <f t="shared" ref="R10:R13" si="5">SUM(H10/12+F10)*3</f>
        <v>43782.8</v>
      </c>
      <c r="S10" s="15">
        <f t="shared" ref="S10:S13" si="6">SUM(G10:R10)</f>
        <v>1107339.9833333336</v>
      </c>
      <c r="U10" s="10">
        <f>S10/1/12</f>
        <v>92278.331944444464</v>
      </c>
    </row>
    <row r="11" spans="1:27" customFormat="1" ht="20.25" x14ac:dyDescent="0.3">
      <c r="A11" s="13" t="s">
        <v>25</v>
      </c>
      <c r="B11" s="14">
        <v>1</v>
      </c>
      <c r="C11" s="14">
        <v>8056</v>
      </c>
      <c r="D11" s="15">
        <f t="shared" si="0"/>
        <v>8056</v>
      </c>
      <c r="E11" s="15">
        <f t="shared" si="1"/>
        <v>1208.4000000000001</v>
      </c>
      <c r="F11" s="15">
        <f t="shared" si="2"/>
        <v>9264.4</v>
      </c>
      <c r="G11" s="15">
        <f t="shared" si="3"/>
        <v>111172.79999999999</v>
      </c>
      <c r="H11" s="15">
        <f>F11*4</f>
        <v>37057.599999999999</v>
      </c>
      <c r="I11" s="15">
        <f t="shared" si="4"/>
        <v>27793.199999999997</v>
      </c>
      <c r="J11" s="15">
        <f>(H11/12+F11)*2</f>
        <v>24705.066666666666</v>
      </c>
      <c r="K11" s="15">
        <f>F11*1.5</f>
        <v>13896.599999999999</v>
      </c>
      <c r="L11" s="15">
        <f>F11*14</f>
        <v>129701.59999999999</v>
      </c>
      <c r="M11" s="15"/>
      <c r="N11" s="15"/>
      <c r="O11" s="15"/>
      <c r="P11" s="15"/>
      <c r="Q11" s="15">
        <f>F11*12*3</f>
        <v>333518.39999999997</v>
      </c>
      <c r="R11" s="15">
        <f t="shared" si="5"/>
        <v>37057.599999999999</v>
      </c>
      <c r="S11" s="15">
        <f t="shared" si="6"/>
        <v>714902.86666666658</v>
      </c>
      <c r="U11" s="10">
        <f>S11/1/12</f>
        <v>59575.238888888882</v>
      </c>
    </row>
    <row r="12" spans="1:27" s="11" customFormat="1" ht="17.25" customHeight="1" x14ac:dyDescent="0.3">
      <c r="A12" s="13" t="s">
        <v>28</v>
      </c>
      <c r="B12" s="14">
        <v>1</v>
      </c>
      <c r="C12" s="14">
        <v>5977</v>
      </c>
      <c r="D12" s="15">
        <f t="shared" si="0"/>
        <v>5977</v>
      </c>
      <c r="E12" s="15">
        <f t="shared" si="1"/>
        <v>896.55</v>
      </c>
      <c r="F12" s="15">
        <f t="shared" si="2"/>
        <v>6873.55</v>
      </c>
      <c r="G12" s="15">
        <f t="shared" si="3"/>
        <v>82482.600000000006</v>
      </c>
      <c r="H12" s="15">
        <f>F12*4</f>
        <v>27494.2</v>
      </c>
      <c r="I12" s="15">
        <f t="shared" si="4"/>
        <v>20620.650000000001</v>
      </c>
      <c r="J12" s="15">
        <f>(H12/12+F12)*2</f>
        <v>18329.466666666667</v>
      </c>
      <c r="K12" s="15">
        <f>F12*1.5</f>
        <v>10310.325000000001</v>
      </c>
      <c r="L12" s="15">
        <f>F12*14</f>
        <v>96229.7</v>
      </c>
      <c r="M12" s="15"/>
      <c r="N12" s="15"/>
      <c r="O12" s="15"/>
      <c r="P12" s="15"/>
      <c r="Q12" s="15">
        <f>F12*12*3</f>
        <v>247447.80000000002</v>
      </c>
      <c r="R12" s="15">
        <f t="shared" si="5"/>
        <v>27494.2</v>
      </c>
      <c r="S12" s="15">
        <f t="shared" si="6"/>
        <v>530408.94166666665</v>
      </c>
      <c r="U12" s="10">
        <f>S12/1/12</f>
        <v>44200.745138888888</v>
      </c>
      <c r="V12" s="49"/>
      <c r="W12" s="49"/>
      <c r="X12" s="49"/>
      <c r="Y12" s="49"/>
    </row>
    <row r="13" spans="1:27" customFormat="1" ht="20.25" x14ac:dyDescent="0.3">
      <c r="A13" s="13" t="s">
        <v>29</v>
      </c>
      <c r="B13" s="14">
        <v>1</v>
      </c>
      <c r="C13" s="14">
        <v>5135</v>
      </c>
      <c r="D13" s="15">
        <f t="shared" si="0"/>
        <v>5135</v>
      </c>
      <c r="E13" s="15">
        <f t="shared" si="1"/>
        <v>770.25</v>
      </c>
      <c r="F13" s="15">
        <f t="shared" si="2"/>
        <v>5905.25</v>
      </c>
      <c r="G13" s="15">
        <f t="shared" si="3"/>
        <v>70863</v>
      </c>
      <c r="H13" s="15">
        <f>F13*4</f>
        <v>23621</v>
      </c>
      <c r="I13" s="15">
        <f t="shared" si="4"/>
        <v>17715.75</v>
      </c>
      <c r="J13" s="15">
        <f>(H13/12+F13)*2</f>
        <v>15747.333333333334</v>
      </c>
      <c r="K13" s="15">
        <f>F13*1.5</f>
        <v>8857.875</v>
      </c>
      <c r="L13" s="15">
        <f>F13*14</f>
        <v>82673.5</v>
      </c>
      <c r="M13" s="15"/>
      <c r="N13" s="15"/>
      <c r="O13" s="15"/>
      <c r="P13" s="15"/>
      <c r="Q13" s="15">
        <f>F13*12*3</f>
        <v>212589</v>
      </c>
      <c r="R13" s="15">
        <f t="shared" si="5"/>
        <v>23621</v>
      </c>
      <c r="S13" s="15">
        <f t="shared" si="6"/>
        <v>455688.45833333331</v>
      </c>
      <c r="U13" s="10">
        <f>S13/1/12</f>
        <v>37974.038194444445</v>
      </c>
    </row>
    <row r="14" spans="1:27" customFormat="1" ht="20.25" x14ac:dyDescent="0.3">
      <c r="A14" s="16" t="s">
        <v>30</v>
      </c>
      <c r="B14" s="17">
        <f t="shared" ref="B14:S14" si="7">SUM(B10:B13)</f>
        <v>4</v>
      </c>
      <c r="C14" s="18">
        <f t="shared" si="7"/>
        <v>28686</v>
      </c>
      <c r="D14" s="17">
        <f t="shared" si="7"/>
        <v>28686</v>
      </c>
      <c r="E14" s="17">
        <f t="shared" si="7"/>
        <v>4302.9000000000005</v>
      </c>
      <c r="F14" s="17">
        <f t="shared" si="7"/>
        <v>32988.899999999994</v>
      </c>
      <c r="G14" s="17">
        <f t="shared" si="7"/>
        <v>395866.80000000005</v>
      </c>
      <c r="H14" s="17">
        <f t="shared" si="7"/>
        <v>131955.59999999998</v>
      </c>
      <c r="I14" s="17">
        <f t="shared" si="7"/>
        <v>98966.700000000012</v>
      </c>
      <c r="J14" s="17">
        <f t="shared" si="7"/>
        <v>87970.400000000009</v>
      </c>
      <c r="K14" s="17">
        <f t="shared" si="7"/>
        <v>49483.350000000006</v>
      </c>
      <c r="L14" s="17">
        <f t="shared" si="7"/>
        <v>461844.60000000003</v>
      </c>
      <c r="M14" s="17">
        <f t="shared" si="7"/>
        <v>0</v>
      </c>
      <c r="N14" s="17">
        <f t="shared" si="7"/>
        <v>0</v>
      </c>
      <c r="O14" s="17">
        <f t="shared" si="7"/>
        <v>0</v>
      </c>
      <c r="P14" s="17">
        <f t="shared" si="7"/>
        <v>0</v>
      </c>
      <c r="Q14" s="17">
        <f t="shared" si="7"/>
        <v>1450297.2000000002</v>
      </c>
      <c r="R14" s="17">
        <f t="shared" si="7"/>
        <v>131955.59999999998</v>
      </c>
      <c r="S14" s="17">
        <f t="shared" si="7"/>
        <v>2808340.2500000005</v>
      </c>
      <c r="U14" s="10"/>
    </row>
    <row r="15" spans="1:27" customFormat="1" ht="21" customHeight="1" x14ac:dyDescent="0.35">
      <c r="A15" s="50" t="s">
        <v>67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2"/>
      <c r="U15" s="10"/>
    </row>
    <row r="16" spans="1:27" customFormat="1" ht="24" customHeight="1" x14ac:dyDescent="0.25">
      <c r="A16" s="53" t="s">
        <v>72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5"/>
      <c r="U16" s="10"/>
    </row>
    <row r="17" spans="1:21" s="9" customFormat="1" ht="21.75" customHeight="1" x14ac:dyDescent="0.3">
      <c r="A17" s="13" t="s">
        <v>26</v>
      </c>
      <c r="B17" s="15">
        <v>1</v>
      </c>
      <c r="C17" s="15">
        <v>15530</v>
      </c>
      <c r="D17" s="15">
        <f t="shared" ref="D17:D21" si="8">C17*B17</f>
        <v>15530</v>
      </c>
      <c r="E17" s="15">
        <f t="shared" ref="E17:E21" si="9">SUM(D17*15/100)</f>
        <v>2329.5</v>
      </c>
      <c r="F17" s="15">
        <f t="shared" ref="F17:F21" si="10">D17+E17</f>
        <v>17859.5</v>
      </c>
      <c r="G17" s="15">
        <f t="shared" ref="G17:G21" si="11">F17*12</f>
        <v>214314</v>
      </c>
      <c r="H17" s="15"/>
      <c r="I17" s="15">
        <f t="shared" ref="I17:I21" si="12">F17*3</f>
        <v>53578.5</v>
      </c>
      <c r="J17" s="15"/>
      <c r="K17" s="15"/>
      <c r="L17" s="15"/>
      <c r="M17" s="15"/>
      <c r="N17" s="15"/>
      <c r="O17" s="15"/>
      <c r="P17" s="15"/>
      <c r="Q17" s="15">
        <f>G17*5</f>
        <v>1071570</v>
      </c>
      <c r="R17" s="15">
        <f t="shared" ref="R17" si="13">SUM(H17/12+F17)*3</f>
        <v>53578.5</v>
      </c>
      <c r="S17" s="15">
        <f t="shared" ref="S17:S21" si="14">SUM(G17:R17)</f>
        <v>1393041</v>
      </c>
      <c r="U17" s="12">
        <f t="shared" ref="U17:U18" si="15">S17/1/12</f>
        <v>116086.75</v>
      </c>
    </row>
    <row r="18" spans="1:21" s="9" customFormat="1" ht="38.25" customHeight="1" x14ac:dyDescent="0.3">
      <c r="A18" s="13" t="s">
        <v>27</v>
      </c>
      <c r="B18" s="15">
        <v>1</v>
      </c>
      <c r="C18" s="15">
        <v>15051</v>
      </c>
      <c r="D18" s="15">
        <f t="shared" si="8"/>
        <v>15051</v>
      </c>
      <c r="E18" s="15">
        <f t="shared" si="9"/>
        <v>2257.65</v>
      </c>
      <c r="F18" s="15">
        <f t="shared" si="10"/>
        <v>17308.650000000001</v>
      </c>
      <c r="G18" s="15">
        <f t="shared" si="11"/>
        <v>207703.80000000002</v>
      </c>
      <c r="H18" s="15"/>
      <c r="I18" s="15">
        <f t="shared" si="12"/>
        <v>51925.950000000004</v>
      </c>
      <c r="J18" s="15"/>
      <c r="K18" s="15"/>
      <c r="L18" s="15"/>
      <c r="M18" s="15"/>
      <c r="N18" s="15"/>
      <c r="O18" s="15"/>
      <c r="P18" s="15"/>
      <c r="Q18" s="15">
        <f>F18*12*3</f>
        <v>623111.4</v>
      </c>
      <c r="R18" s="15">
        <f>SUM(H18/12+F18)*3</f>
        <v>51925.950000000004</v>
      </c>
      <c r="S18" s="15">
        <f t="shared" si="14"/>
        <v>934667.1</v>
      </c>
      <c r="U18" s="12">
        <f t="shared" si="15"/>
        <v>77888.925000000003</v>
      </c>
    </row>
    <row r="19" spans="1:21" s="9" customFormat="1" ht="38.25" customHeight="1" x14ac:dyDescent="0.3">
      <c r="A19" s="13" t="s">
        <v>77</v>
      </c>
      <c r="B19" s="15">
        <v>1</v>
      </c>
      <c r="C19" s="15">
        <v>13703</v>
      </c>
      <c r="D19" s="15">
        <f t="shared" ref="D19" si="16">C19*B19</f>
        <v>13703</v>
      </c>
      <c r="E19" s="15">
        <f t="shared" ref="E19" si="17">SUM(D19*15/100)</f>
        <v>2055.4499999999998</v>
      </c>
      <c r="F19" s="15">
        <f t="shared" ref="F19" si="18">D19+E19</f>
        <v>15758.45</v>
      </c>
      <c r="G19" s="15">
        <f t="shared" ref="G19" si="19">F19*12</f>
        <v>189101.40000000002</v>
      </c>
      <c r="H19" s="15"/>
      <c r="I19" s="15">
        <f t="shared" ref="I19" si="20">F19*3</f>
        <v>47275.350000000006</v>
      </c>
      <c r="J19" s="15"/>
      <c r="K19" s="15"/>
      <c r="L19" s="15"/>
      <c r="M19" s="15"/>
      <c r="N19" s="15"/>
      <c r="O19" s="15"/>
      <c r="P19" s="15"/>
      <c r="Q19" s="15">
        <f>F19*12*3</f>
        <v>567304.20000000007</v>
      </c>
      <c r="R19" s="15">
        <f>SUM(H19/12+F19)*3</f>
        <v>47275.350000000006</v>
      </c>
      <c r="S19" s="15">
        <f t="shared" ref="S19" si="21">SUM(G19:R19)</f>
        <v>850956.3</v>
      </c>
      <c r="U19" s="12">
        <f t="shared" ref="U19" si="22">S19/1/12</f>
        <v>70913.025000000009</v>
      </c>
    </row>
    <row r="20" spans="1:21" s="9" customFormat="1" ht="28.5" customHeight="1" x14ac:dyDescent="0.25">
      <c r="A20" s="53" t="s">
        <v>23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5"/>
      <c r="U20" s="12"/>
    </row>
    <row r="21" spans="1:21" customFormat="1" ht="20.25" x14ac:dyDescent="0.3">
      <c r="A21" s="13" t="s">
        <v>28</v>
      </c>
      <c r="B21" s="14">
        <v>2</v>
      </c>
      <c r="C21" s="14">
        <v>5977</v>
      </c>
      <c r="D21" s="15">
        <f t="shared" si="8"/>
        <v>11954</v>
      </c>
      <c r="E21" s="15">
        <f t="shared" si="9"/>
        <v>1793.1</v>
      </c>
      <c r="F21" s="15">
        <f t="shared" si="10"/>
        <v>13747.1</v>
      </c>
      <c r="G21" s="15">
        <f t="shared" si="11"/>
        <v>164965.20000000001</v>
      </c>
      <c r="H21" s="15">
        <f>F21*4</f>
        <v>54988.4</v>
      </c>
      <c r="I21" s="15">
        <f t="shared" si="12"/>
        <v>41241.300000000003</v>
      </c>
      <c r="J21" s="15">
        <f>(H21/12+F21)*2</f>
        <v>36658.933333333334</v>
      </c>
      <c r="K21" s="15">
        <f>F21*1.5</f>
        <v>20620.650000000001</v>
      </c>
      <c r="L21" s="15">
        <f>F21*14</f>
        <v>192459.4</v>
      </c>
      <c r="M21" s="15"/>
      <c r="N21" s="15"/>
      <c r="O21" s="15"/>
      <c r="P21" s="15"/>
      <c r="Q21" s="15">
        <f>F21*12*3</f>
        <v>494895.60000000003</v>
      </c>
      <c r="R21" s="15">
        <f t="shared" ref="R21" si="23">SUM(H21/12+F21)*3</f>
        <v>54988.4</v>
      </c>
      <c r="S21" s="15">
        <f t="shared" si="14"/>
        <v>1060817.8833333333</v>
      </c>
      <c r="U21" s="10">
        <f>S21/2/12</f>
        <v>44200.745138888888</v>
      </c>
    </row>
    <row r="22" spans="1:21" customFormat="1" ht="20.25" x14ac:dyDescent="0.3">
      <c r="A22" s="16" t="s">
        <v>30</v>
      </c>
      <c r="B22" s="17">
        <f t="shared" ref="B22:R22" si="24">SUM(B16:B21)</f>
        <v>5</v>
      </c>
      <c r="C22" s="18">
        <f t="shared" si="24"/>
        <v>50261</v>
      </c>
      <c r="D22" s="17">
        <f t="shared" si="24"/>
        <v>56238</v>
      </c>
      <c r="E22" s="17">
        <f t="shared" si="24"/>
        <v>8435.6999999999989</v>
      </c>
      <c r="F22" s="17">
        <f t="shared" si="24"/>
        <v>64673.700000000004</v>
      </c>
      <c r="G22" s="17">
        <f t="shared" si="24"/>
        <v>776084.40000000014</v>
      </c>
      <c r="H22" s="17">
        <f t="shared" si="24"/>
        <v>54988.4</v>
      </c>
      <c r="I22" s="17">
        <f t="shared" si="24"/>
        <v>194021.10000000003</v>
      </c>
      <c r="J22" s="17">
        <f t="shared" si="24"/>
        <v>36658.933333333334</v>
      </c>
      <c r="K22" s="17">
        <f t="shared" si="24"/>
        <v>20620.650000000001</v>
      </c>
      <c r="L22" s="17">
        <f t="shared" si="24"/>
        <v>192459.4</v>
      </c>
      <c r="M22" s="17">
        <f t="shared" si="24"/>
        <v>0</v>
      </c>
      <c r="N22" s="17">
        <f t="shared" si="24"/>
        <v>0</v>
      </c>
      <c r="O22" s="17">
        <f t="shared" si="24"/>
        <v>0</v>
      </c>
      <c r="P22" s="17">
        <f t="shared" si="24"/>
        <v>0</v>
      </c>
      <c r="Q22" s="17">
        <f t="shared" si="24"/>
        <v>2756881.2</v>
      </c>
      <c r="R22" s="17">
        <f t="shared" si="24"/>
        <v>207768.2</v>
      </c>
      <c r="S22" s="17">
        <f>SUM(S16:S21)</f>
        <v>4239482.2833333332</v>
      </c>
      <c r="U22" s="10"/>
    </row>
    <row r="23" spans="1:21" s="34" customFormat="1" ht="20.25" x14ac:dyDescent="0.3">
      <c r="A23" s="33" t="s">
        <v>68</v>
      </c>
      <c r="B23" s="18">
        <f t="shared" ref="B23:S23" si="25">B14+B22</f>
        <v>9</v>
      </c>
      <c r="C23" s="18">
        <f t="shared" si="25"/>
        <v>78947</v>
      </c>
      <c r="D23" s="18">
        <f t="shared" si="25"/>
        <v>84924</v>
      </c>
      <c r="E23" s="18">
        <f t="shared" si="25"/>
        <v>12738.599999999999</v>
      </c>
      <c r="F23" s="18">
        <f t="shared" si="25"/>
        <v>97662.6</v>
      </c>
      <c r="G23" s="18">
        <f t="shared" si="25"/>
        <v>1171951.2000000002</v>
      </c>
      <c r="H23" s="18">
        <f t="shared" si="25"/>
        <v>186943.99999999997</v>
      </c>
      <c r="I23" s="18">
        <f t="shared" si="25"/>
        <v>292987.80000000005</v>
      </c>
      <c r="J23" s="18">
        <f t="shared" si="25"/>
        <v>124629.33333333334</v>
      </c>
      <c r="K23" s="18">
        <f t="shared" si="25"/>
        <v>70104</v>
      </c>
      <c r="L23" s="18">
        <f t="shared" si="25"/>
        <v>654304</v>
      </c>
      <c r="M23" s="18">
        <f t="shared" si="25"/>
        <v>0</v>
      </c>
      <c r="N23" s="18">
        <f t="shared" si="25"/>
        <v>0</v>
      </c>
      <c r="O23" s="18">
        <f t="shared" si="25"/>
        <v>0</v>
      </c>
      <c r="P23" s="18">
        <f t="shared" si="25"/>
        <v>0</v>
      </c>
      <c r="Q23" s="18">
        <f t="shared" si="25"/>
        <v>4207178.4000000004</v>
      </c>
      <c r="R23" s="18">
        <f t="shared" si="25"/>
        <v>339723.8</v>
      </c>
      <c r="S23" s="18">
        <f t="shared" si="25"/>
        <v>7047822.5333333332</v>
      </c>
      <c r="U23" s="35"/>
    </row>
    <row r="24" spans="1:21" customFormat="1" ht="30.75" customHeight="1" x14ac:dyDescent="0.25">
      <c r="A24" s="56" t="s">
        <v>31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8"/>
      <c r="U24" s="10"/>
    </row>
    <row r="25" spans="1:21" customFormat="1" ht="18" customHeight="1" x14ac:dyDescent="0.25">
      <c r="A25" s="59" t="s">
        <v>23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1"/>
      <c r="U25" s="10"/>
    </row>
    <row r="26" spans="1:21" customFormat="1" ht="20.25" x14ac:dyDescent="0.3">
      <c r="A26" s="13" t="s">
        <v>32</v>
      </c>
      <c r="B26" s="14">
        <v>1</v>
      </c>
      <c r="C26" s="20">
        <v>16372</v>
      </c>
      <c r="D26" s="15">
        <f>C26*B26</f>
        <v>16372</v>
      </c>
      <c r="E26" s="15">
        <f>SUM(D26*15/100)</f>
        <v>2455.8000000000002</v>
      </c>
      <c r="F26" s="15">
        <f>D26+E26</f>
        <v>18827.8</v>
      </c>
      <c r="G26" s="15">
        <f t="shared" ref="G26:G36" si="26">F26*12</f>
        <v>225933.59999999998</v>
      </c>
      <c r="H26" s="15">
        <f t="shared" ref="H26:H36" si="27">F26*4</f>
        <v>75311.199999999997</v>
      </c>
      <c r="I26" s="15">
        <f>F26*3</f>
        <v>56483.399999999994</v>
      </c>
      <c r="J26" s="15">
        <f>(H26/12+F26)*2</f>
        <v>50207.466666666667</v>
      </c>
      <c r="K26" s="15">
        <f>F26*1.5</f>
        <v>28241.699999999997</v>
      </c>
      <c r="L26" s="15">
        <f>F26*14</f>
        <v>263589.2</v>
      </c>
      <c r="M26" s="15"/>
      <c r="N26" s="15"/>
      <c r="O26" s="15"/>
      <c r="P26" s="15"/>
      <c r="Q26" s="15">
        <f>G26*6.1</f>
        <v>1378194.9599999997</v>
      </c>
      <c r="R26" s="15">
        <f>SUM(H26/12+F26)*3</f>
        <v>75311.199999999997</v>
      </c>
      <c r="S26" s="15">
        <f>SUM(G26:R26)</f>
        <v>2153272.7266666666</v>
      </c>
      <c r="U26" s="10">
        <f>S26/1/12</f>
        <v>179439.39388888888</v>
      </c>
    </row>
    <row r="27" spans="1:21" customFormat="1" ht="20.25" x14ac:dyDescent="0.3">
      <c r="A27" s="13" t="s">
        <v>33</v>
      </c>
      <c r="B27" s="14">
        <v>2</v>
      </c>
      <c r="C27" s="14">
        <v>9780</v>
      </c>
      <c r="D27" s="15">
        <f t="shared" ref="D27:D36" si="28">C27*B27</f>
        <v>19560</v>
      </c>
      <c r="E27" s="15">
        <f t="shared" ref="E27:E36" si="29">SUM(D27*15/100)</f>
        <v>2934</v>
      </c>
      <c r="F27" s="15">
        <f t="shared" ref="F27:F36" si="30">D27+E27</f>
        <v>22494</v>
      </c>
      <c r="G27" s="15">
        <f t="shared" si="26"/>
        <v>269928</v>
      </c>
      <c r="H27" s="15">
        <f t="shared" si="27"/>
        <v>89976</v>
      </c>
      <c r="I27" s="15">
        <f t="shared" ref="I27:I36" si="31">F27*3</f>
        <v>67482</v>
      </c>
      <c r="J27" s="15">
        <f t="shared" ref="J27:J36" si="32">(H27/12+F27)*2</f>
        <v>59984</v>
      </c>
      <c r="K27" s="15">
        <f t="shared" ref="K27:K36" si="33">F27*1.5</f>
        <v>33741</v>
      </c>
      <c r="L27" s="15">
        <f t="shared" ref="L27:L36" si="34">F27*14</f>
        <v>314916</v>
      </c>
      <c r="M27" s="15"/>
      <c r="N27" s="15"/>
      <c r="O27" s="15"/>
      <c r="P27" s="15"/>
      <c r="Q27" s="15">
        <f>G27*5</f>
        <v>1349640</v>
      </c>
      <c r="R27" s="15">
        <f t="shared" ref="R27:R36" si="35">SUM(H27/12+F27)*3</f>
        <v>89976</v>
      </c>
      <c r="S27" s="15">
        <f t="shared" ref="S27:S36" si="36">SUM(G27:R27)</f>
        <v>2275643</v>
      </c>
      <c r="U27" s="10">
        <f>S27/2/12</f>
        <v>94818.458333333328</v>
      </c>
    </row>
    <row r="28" spans="1:21" customFormat="1" ht="20.25" x14ac:dyDescent="0.3">
      <c r="A28" s="13" t="s">
        <v>34</v>
      </c>
      <c r="B28" s="14">
        <v>6</v>
      </c>
      <c r="C28" s="14">
        <v>9518</v>
      </c>
      <c r="D28" s="15">
        <f t="shared" si="28"/>
        <v>57108</v>
      </c>
      <c r="E28" s="15">
        <f t="shared" si="29"/>
        <v>8566.2000000000007</v>
      </c>
      <c r="F28" s="15">
        <f t="shared" si="30"/>
        <v>65674.2</v>
      </c>
      <c r="G28" s="15">
        <f t="shared" si="26"/>
        <v>788090.39999999991</v>
      </c>
      <c r="H28" s="15">
        <f t="shared" si="27"/>
        <v>262696.8</v>
      </c>
      <c r="I28" s="15">
        <f t="shared" si="31"/>
        <v>197022.59999999998</v>
      </c>
      <c r="J28" s="15">
        <f t="shared" si="32"/>
        <v>175131.19999999998</v>
      </c>
      <c r="K28" s="15">
        <f t="shared" si="33"/>
        <v>98511.299999999988</v>
      </c>
      <c r="L28" s="15">
        <f t="shared" si="34"/>
        <v>919438.79999999993</v>
      </c>
      <c r="M28" s="15"/>
      <c r="N28" s="15"/>
      <c r="O28" s="15"/>
      <c r="P28" s="15"/>
      <c r="Q28" s="15">
        <f>G28*5</f>
        <v>3940451.9999999995</v>
      </c>
      <c r="R28" s="15">
        <f t="shared" si="35"/>
        <v>262696.8</v>
      </c>
      <c r="S28" s="15">
        <f t="shared" si="36"/>
        <v>6644039.8999999994</v>
      </c>
      <c r="U28" s="10">
        <f>S28/6/12</f>
        <v>92278.331944444435</v>
      </c>
    </row>
    <row r="29" spans="1:21" customFormat="1" ht="20.25" x14ac:dyDescent="0.3">
      <c r="A29" s="13" t="s">
        <v>35</v>
      </c>
      <c r="B29" s="14">
        <v>1</v>
      </c>
      <c r="C29" s="14">
        <v>9518</v>
      </c>
      <c r="D29" s="15">
        <f t="shared" si="28"/>
        <v>9518</v>
      </c>
      <c r="E29" s="15">
        <f t="shared" si="29"/>
        <v>1427.7</v>
      </c>
      <c r="F29" s="15">
        <f t="shared" si="30"/>
        <v>10945.7</v>
      </c>
      <c r="G29" s="15">
        <f t="shared" si="26"/>
        <v>131348.40000000002</v>
      </c>
      <c r="H29" s="15">
        <f t="shared" si="27"/>
        <v>43782.8</v>
      </c>
      <c r="I29" s="15">
        <f t="shared" si="31"/>
        <v>32837.100000000006</v>
      </c>
      <c r="J29" s="15">
        <f t="shared" si="32"/>
        <v>29188.533333333336</v>
      </c>
      <c r="K29" s="15">
        <f t="shared" si="33"/>
        <v>16418.550000000003</v>
      </c>
      <c r="L29" s="15">
        <f t="shared" si="34"/>
        <v>153239.80000000002</v>
      </c>
      <c r="M29" s="15"/>
      <c r="N29" s="15"/>
      <c r="O29" s="15"/>
      <c r="P29" s="15"/>
      <c r="Q29" s="15">
        <f>G29*5</f>
        <v>656742.00000000012</v>
      </c>
      <c r="R29" s="15">
        <f t="shared" si="35"/>
        <v>43782.8</v>
      </c>
      <c r="S29" s="15">
        <f t="shared" si="36"/>
        <v>1107339.9833333336</v>
      </c>
      <c r="U29" s="10">
        <f>S29/1/12</f>
        <v>92278.331944444464</v>
      </c>
    </row>
    <row r="30" spans="1:21" customFormat="1" ht="20.25" x14ac:dyDescent="0.3">
      <c r="A30" s="13" t="s">
        <v>58</v>
      </c>
      <c r="B30" s="14">
        <v>1</v>
      </c>
      <c r="C30" s="14">
        <v>8858</v>
      </c>
      <c r="D30" s="15">
        <f t="shared" si="28"/>
        <v>8858</v>
      </c>
      <c r="E30" s="15">
        <f t="shared" si="29"/>
        <v>1328.7</v>
      </c>
      <c r="F30" s="15">
        <f t="shared" si="30"/>
        <v>10186.700000000001</v>
      </c>
      <c r="G30" s="15">
        <f t="shared" si="26"/>
        <v>122240.40000000001</v>
      </c>
      <c r="H30" s="15">
        <f t="shared" si="27"/>
        <v>40746.800000000003</v>
      </c>
      <c r="I30" s="15">
        <f t="shared" si="31"/>
        <v>30560.100000000002</v>
      </c>
      <c r="J30" s="15">
        <f t="shared" si="32"/>
        <v>27164.533333333336</v>
      </c>
      <c r="K30" s="15">
        <f t="shared" si="33"/>
        <v>15280.050000000001</v>
      </c>
      <c r="L30" s="15">
        <f t="shared" si="34"/>
        <v>142613.80000000002</v>
      </c>
      <c r="M30" s="15"/>
      <c r="N30" s="15"/>
      <c r="O30" s="15"/>
      <c r="P30" s="15"/>
      <c r="Q30" s="15">
        <f>G30*3</f>
        <v>366721.2</v>
      </c>
      <c r="R30" s="15">
        <f t="shared" si="35"/>
        <v>40746.800000000003</v>
      </c>
      <c r="S30" s="15">
        <f t="shared" si="36"/>
        <v>786073.68333333335</v>
      </c>
      <c r="U30" s="10">
        <f>S30/1/12</f>
        <v>65506.140277777777</v>
      </c>
    </row>
    <row r="31" spans="1:21" customFormat="1" ht="20.25" x14ac:dyDescent="0.3">
      <c r="A31" s="13" t="s">
        <v>36</v>
      </c>
      <c r="B31" s="14">
        <v>2</v>
      </c>
      <c r="C31" s="14">
        <v>8465</v>
      </c>
      <c r="D31" s="15">
        <f t="shared" si="28"/>
        <v>16930</v>
      </c>
      <c r="E31" s="15">
        <f t="shared" si="29"/>
        <v>2539.5</v>
      </c>
      <c r="F31" s="15">
        <f t="shared" si="30"/>
        <v>19469.5</v>
      </c>
      <c r="G31" s="15">
        <f t="shared" si="26"/>
        <v>233634</v>
      </c>
      <c r="H31" s="15">
        <f t="shared" si="27"/>
        <v>77878</v>
      </c>
      <c r="I31" s="15">
        <f t="shared" si="31"/>
        <v>58408.5</v>
      </c>
      <c r="J31" s="15">
        <f t="shared" si="32"/>
        <v>51918.666666666664</v>
      </c>
      <c r="K31" s="15">
        <f t="shared" si="33"/>
        <v>29204.25</v>
      </c>
      <c r="L31" s="15">
        <f t="shared" si="34"/>
        <v>272573</v>
      </c>
      <c r="M31" s="15"/>
      <c r="N31" s="15"/>
      <c r="O31" s="15"/>
      <c r="P31" s="15"/>
      <c r="Q31" s="15">
        <f t="shared" ref="Q31:Q36" si="37">SUM(F31*3*12)</f>
        <v>700902</v>
      </c>
      <c r="R31" s="15">
        <f t="shared" si="35"/>
        <v>77878</v>
      </c>
      <c r="S31" s="15">
        <f t="shared" si="36"/>
        <v>1502396.4166666667</v>
      </c>
      <c r="U31" s="10">
        <f>S31/2/12</f>
        <v>62599.850694444445</v>
      </c>
    </row>
    <row r="32" spans="1:21" customFormat="1" ht="20.25" x14ac:dyDescent="0.3">
      <c r="A32" s="13" t="s">
        <v>25</v>
      </c>
      <c r="B32" s="14">
        <v>21</v>
      </c>
      <c r="C32" s="14">
        <v>8056</v>
      </c>
      <c r="D32" s="15">
        <f t="shared" si="28"/>
        <v>169176</v>
      </c>
      <c r="E32" s="15">
        <f t="shared" si="29"/>
        <v>25376.400000000001</v>
      </c>
      <c r="F32" s="15">
        <f t="shared" si="30"/>
        <v>194552.4</v>
      </c>
      <c r="G32" s="15">
        <f t="shared" si="26"/>
        <v>2334628.7999999998</v>
      </c>
      <c r="H32" s="15">
        <f t="shared" si="27"/>
        <v>778209.6</v>
      </c>
      <c r="I32" s="15">
        <f t="shared" si="31"/>
        <v>583657.19999999995</v>
      </c>
      <c r="J32" s="15">
        <f t="shared" si="32"/>
        <v>518806.39999999997</v>
      </c>
      <c r="K32" s="15">
        <f t="shared" si="33"/>
        <v>291828.59999999998</v>
      </c>
      <c r="L32" s="15">
        <f t="shared" si="34"/>
        <v>2723733.6</v>
      </c>
      <c r="M32" s="15"/>
      <c r="N32" s="15"/>
      <c r="O32" s="15"/>
      <c r="P32" s="15"/>
      <c r="Q32" s="15">
        <f t="shared" si="37"/>
        <v>7003886.3999999994</v>
      </c>
      <c r="R32" s="15">
        <f t="shared" si="35"/>
        <v>778209.6</v>
      </c>
      <c r="S32" s="15">
        <f t="shared" si="36"/>
        <v>15012960.199999997</v>
      </c>
      <c r="U32" s="10">
        <f>S32/21/12</f>
        <v>59575.238888888882</v>
      </c>
    </row>
    <row r="33" spans="1:21" customFormat="1" ht="20.25" x14ac:dyDescent="0.3">
      <c r="A33" s="13" t="s">
        <v>37</v>
      </c>
      <c r="B33" s="14">
        <v>8</v>
      </c>
      <c r="C33" s="14">
        <v>7293</v>
      </c>
      <c r="D33" s="15">
        <f t="shared" si="28"/>
        <v>58344</v>
      </c>
      <c r="E33" s="15">
        <f t="shared" si="29"/>
        <v>8751.6</v>
      </c>
      <c r="F33" s="15">
        <f t="shared" si="30"/>
        <v>67095.600000000006</v>
      </c>
      <c r="G33" s="15">
        <f t="shared" si="26"/>
        <v>805147.20000000007</v>
      </c>
      <c r="H33" s="15">
        <f t="shared" si="27"/>
        <v>268382.40000000002</v>
      </c>
      <c r="I33" s="15">
        <f t="shared" si="31"/>
        <v>201286.80000000002</v>
      </c>
      <c r="J33" s="15">
        <f t="shared" si="32"/>
        <v>178921.60000000001</v>
      </c>
      <c r="K33" s="15">
        <f t="shared" si="33"/>
        <v>100643.40000000001</v>
      </c>
      <c r="L33" s="15">
        <f t="shared" si="34"/>
        <v>939338.40000000014</v>
      </c>
      <c r="M33" s="15"/>
      <c r="N33" s="15"/>
      <c r="O33" s="15"/>
      <c r="P33" s="15"/>
      <c r="Q33" s="15">
        <f t="shared" si="37"/>
        <v>2415441.6</v>
      </c>
      <c r="R33" s="15">
        <f t="shared" si="35"/>
        <v>268382.40000000002</v>
      </c>
      <c r="S33" s="15">
        <f t="shared" si="36"/>
        <v>5177543.8000000007</v>
      </c>
      <c r="U33" s="10">
        <f>S33/6/12</f>
        <v>71910.330555555571</v>
      </c>
    </row>
    <row r="34" spans="1:21" customFormat="1" ht="20.25" x14ac:dyDescent="0.3">
      <c r="A34" s="13" t="s">
        <v>38</v>
      </c>
      <c r="B34" s="14">
        <v>3</v>
      </c>
      <c r="C34" s="14">
        <v>6937</v>
      </c>
      <c r="D34" s="15">
        <f t="shared" si="28"/>
        <v>20811</v>
      </c>
      <c r="E34" s="15">
        <f t="shared" si="29"/>
        <v>3121.65</v>
      </c>
      <c r="F34" s="15">
        <f t="shared" si="30"/>
        <v>23932.65</v>
      </c>
      <c r="G34" s="15">
        <f t="shared" si="26"/>
        <v>287191.80000000005</v>
      </c>
      <c r="H34" s="15">
        <f t="shared" si="27"/>
        <v>95730.6</v>
      </c>
      <c r="I34" s="15">
        <f t="shared" si="31"/>
        <v>71797.950000000012</v>
      </c>
      <c r="J34" s="15">
        <f t="shared" si="32"/>
        <v>63820.4</v>
      </c>
      <c r="K34" s="15">
        <f t="shared" si="33"/>
        <v>35898.975000000006</v>
      </c>
      <c r="L34" s="15">
        <f t="shared" si="34"/>
        <v>335057.10000000003</v>
      </c>
      <c r="M34" s="15"/>
      <c r="N34" s="15"/>
      <c r="O34" s="15"/>
      <c r="P34" s="15"/>
      <c r="Q34" s="15">
        <f t="shared" si="37"/>
        <v>861575.40000000014</v>
      </c>
      <c r="R34" s="15">
        <f t="shared" si="35"/>
        <v>95730.6</v>
      </c>
      <c r="S34" s="15">
        <f t="shared" si="36"/>
        <v>1846802.8250000004</v>
      </c>
      <c r="T34" s="10">
        <f>S33/6/12</f>
        <v>71910.330555555571</v>
      </c>
      <c r="U34" s="10">
        <f>S34/3/12</f>
        <v>51300.078472222231</v>
      </c>
    </row>
    <row r="35" spans="1:21" customFormat="1" ht="20.25" x14ac:dyDescent="0.3">
      <c r="A35" s="13" t="s">
        <v>39</v>
      </c>
      <c r="B35" s="14">
        <f>40+5</f>
        <v>45</v>
      </c>
      <c r="C35" s="14">
        <v>5977</v>
      </c>
      <c r="D35" s="15">
        <f t="shared" si="28"/>
        <v>268965</v>
      </c>
      <c r="E35" s="15">
        <f t="shared" si="29"/>
        <v>40344.75</v>
      </c>
      <c r="F35" s="15">
        <f t="shared" si="30"/>
        <v>309309.75</v>
      </c>
      <c r="G35" s="15">
        <f t="shared" si="26"/>
        <v>3711717</v>
      </c>
      <c r="H35" s="15">
        <f t="shared" si="27"/>
        <v>1237239</v>
      </c>
      <c r="I35" s="15">
        <f t="shared" si="31"/>
        <v>927929.25</v>
      </c>
      <c r="J35" s="15">
        <f t="shared" si="32"/>
        <v>824826</v>
      </c>
      <c r="K35" s="15">
        <f t="shared" si="33"/>
        <v>463964.625</v>
      </c>
      <c r="L35" s="15">
        <f t="shared" si="34"/>
        <v>4330336.5</v>
      </c>
      <c r="M35" s="15"/>
      <c r="N35" s="15"/>
      <c r="O35" s="15"/>
      <c r="P35" s="15"/>
      <c r="Q35" s="15">
        <f t="shared" si="37"/>
        <v>11135151</v>
      </c>
      <c r="R35" s="15">
        <f t="shared" si="35"/>
        <v>1237239</v>
      </c>
      <c r="S35" s="15">
        <f t="shared" si="36"/>
        <v>23868402.375</v>
      </c>
      <c r="U35" s="10">
        <f>S35/38/12</f>
        <v>52342.98766447368</v>
      </c>
    </row>
    <row r="36" spans="1:21" customFormat="1" ht="20.25" x14ac:dyDescent="0.3">
      <c r="A36" s="13" t="s">
        <v>40</v>
      </c>
      <c r="B36" s="14">
        <f>59-5</f>
        <v>54</v>
      </c>
      <c r="C36" s="14">
        <v>5135</v>
      </c>
      <c r="D36" s="15">
        <f t="shared" si="28"/>
        <v>277290</v>
      </c>
      <c r="E36" s="15">
        <f t="shared" si="29"/>
        <v>41593.5</v>
      </c>
      <c r="F36" s="15">
        <f t="shared" si="30"/>
        <v>318883.5</v>
      </c>
      <c r="G36" s="15">
        <f t="shared" si="26"/>
        <v>3826602</v>
      </c>
      <c r="H36" s="15">
        <f t="shared" si="27"/>
        <v>1275534</v>
      </c>
      <c r="I36" s="15">
        <f t="shared" si="31"/>
        <v>956650.5</v>
      </c>
      <c r="J36" s="15">
        <f t="shared" si="32"/>
        <v>850356</v>
      </c>
      <c r="K36" s="15">
        <f t="shared" si="33"/>
        <v>478325.25</v>
      </c>
      <c r="L36" s="15">
        <f t="shared" si="34"/>
        <v>4464369</v>
      </c>
      <c r="M36" s="15"/>
      <c r="N36" s="15"/>
      <c r="O36" s="15"/>
      <c r="P36" s="15"/>
      <c r="Q36" s="15">
        <f t="shared" si="37"/>
        <v>11479806</v>
      </c>
      <c r="R36" s="15">
        <f t="shared" si="35"/>
        <v>1275534</v>
      </c>
      <c r="S36" s="15">
        <f t="shared" si="36"/>
        <v>24607176.75</v>
      </c>
      <c r="T36" s="8">
        <f>S35/36/12</f>
        <v>55250.931423611117</v>
      </c>
      <c r="U36" s="10">
        <f>S36/64/12</f>
        <v>32040.5947265625</v>
      </c>
    </row>
    <row r="37" spans="1:21" customFormat="1" ht="20.25" x14ac:dyDescent="0.3">
      <c r="A37" s="16" t="s">
        <v>30</v>
      </c>
      <c r="B37" s="17">
        <f t="shared" ref="B37:S37" si="38">SUM(B26:B36)</f>
        <v>144</v>
      </c>
      <c r="C37" s="18">
        <f t="shared" si="38"/>
        <v>95909</v>
      </c>
      <c r="D37" s="17">
        <f t="shared" si="38"/>
        <v>922932</v>
      </c>
      <c r="E37" s="17">
        <f t="shared" si="38"/>
        <v>138439.79999999999</v>
      </c>
      <c r="F37" s="17">
        <f t="shared" si="38"/>
        <v>1061371.8</v>
      </c>
      <c r="G37" s="17">
        <f t="shared" si="38"/>
        <v>12736461.6</v>
      </c>
      <c r="H37" s="17">
        <f t="shared" si="38"/>
        <v>4245487.2</v>
      </c>
      <c r="I37" s="17">
        <f t="shared" si="38"/>
        <v>3184115.4</v>
      </c>
      <c r="J37" s="17">
        <f t="shared" si="38"/>
        <v>2830324.8</v>
      </c>
      <c r="K37" s="17">
        <f t="shared" si="38"/>
        <v>1592057.7</v>
      </c>
      <c r="L37" s="17">
        <f t="shared" si="38"/>
        <v>14859205.199999999</v>
      </c>
      <c r="M37" s="17">
        <f t="shared" si="38"/>
        <v>0</v>
      </c>
      <c r="N37" s="17">
        <f t="shared" si="38"/>
        <v>0</v>
      </c>
      <c r="O37" s="17">
        <f t="shared" si="38"/>
        <v>0</v>
      </c>
      <c r="P37" s="17">
        <f t="shared" si="38"/>
        <v>0</v>
      </c>
      <c r="Q37" s="17">
        <f t="shared" si="38"/>
        <v>41288512.560000002</v>
      </c>
      <c r="R37" s="17">
        <f t="shared" si="38"/>
        <v>4245487.2</v>
      </c>
      <c r="S37" s="17">
        <f t="shared" si="38"/>
        <v>84981651.659999996</v>
      </c>
      <c r="T37" s="8">
        <f>S36/65/12</f>
        <v>31547.662500000002</v>
      </c>
      <c r="U37" s="10">
        <f>S36/64/12</f>
        <v>32040.5947265625</v>
      </c>
    </row>
    <row r="38" spans="1:21" s="34" customFormat="1" ht="20.25" x14ac:dyDescent="0.3">
      <c r="A38" s="33" t="s">
        <v>69</v>
      </c>
      <c r="B38" s="18">
        <f>B37</f>
        <v>144</v>
      </c>
      <c r="C38" s="18">
        <f t="shared" ref="C38:S38" si="39">C37</f>
        <v>95909</v>
      </c>
      <c r="D38" s="18">
        <f t="shared" si="39"/>
        <v>922932</v>
      </c>
      <c r="E38" s="18">
        <f t="shared" si="39"/>
        <v>138439.79999999999</v>
      </c>
      <c r="F38" s="18">
        <f t="shared" si="39"/>
        <v>1061371.8</v>
      </c>
      <c r="G38" s="18">
        <f t="shared" si="39"/>
        <v>12736461.6</v>
      </c>
      <c r="H38" s="18">
        <f t="shared" si="39"/>
        <v>4245487.2</v>
      </c>
      <c r="I38" s="18">
        <f t="shared" si="39"/>
        <v>3184115.4</v>
      </c>
      <c r="J38" s="18">
        <f t="shared" si="39"/>
        <v>2830324.8</v>
      </c>
      <c r="K38" s="18">
        <f t="shared" si="39"/>
        <v>1592057.7</v>
      </c>
      <c r="L38" s="18">
        <f t="shared" si="39"/>
        <v>14859205.199999999</v>
      </c>
      <c r="M38" s="18">
        <f t="shared" si="39"/>
        <v>0</v>
      </c>
      <c r="N38" s="18">
        <f t="shared" si="39"/>
        <v>0</v>
      </c>
      <c r="O38" s="18">
        <f t="shared" si="39"/>
        <v>0</v>
      </c>
      <c r="P38" s="18">
        <f t="shared" si="39"/>
        <v>0</v>
      </c>
      <c r="Q38" s="18">
        <f t="shared" si="39"/>
        <v>41288512.560000002</v>
      </c>
      <c r="R38" s="18">
        <f t="shared" si="39"/>
        <v>4245487.2</v>
      </c>
      <c r="S38" s="18">
        <f t="shared" si="39"/>
        <v>84981651.659999996</v>
      </c>
      <c r="T38" s="36"/>
      <c r="U38" s="35"/>
    </row>
    <row r="39" spans="1:21" customFormat="1" ht="33.75" customHeight="1" x14ac:dyDescent="0.25">
      <c r="A39" s="56" t="s">
        <v>70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8"/>
      <c r="U39" s="10"/>
    </row>
    <row r="40" spans="1:21" customFormat="1" ht="20.25" hidden="1" x14ac:dyDescent="0.3">
      <c r="A40" s="62" t="s">
        <v>23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4"/>
      <c r="U40" s="10"/>
    </row>
    <row r="41" spans="1:21" customFormat="1" ht="20.25" hidden="1" x14ac:dyDescent="0.3">
      <c r="A41" s="13" t="s">
        <v>41</v>
      </c>
      <c r="B41" s="14"/>
      <c r="C41" s="14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U41" s="10"/>
    </row>
    <row r="42" spans="1:21" customFormat="1" ht="20.25" hidden="1" x14ac:dyDescent="0.3">
      <c r="A42" s="13" t="s">
        <v>33</v>
      </c>
      <c r="B42" s="14"/>
      <c r="C42" s="14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U42" s="10"/>
    </row>
    <row r="43" spans="1:21" customFormat="1" ht="20.25" hidden="1" x14ac:dyDescent="0.3">
      <c r="A43" s="13" t="s">
        <v>34</v>
      </c>
      <c r="B43" s="14"/>
      <c r="C43" s="14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U43" s="10"/>
    </row>
    <row r="44" spans="1:21" customFormat="1" ht="20.25" hidden="1" x14ac:dyDescent="0.3">
      <c r="A44" s="13" t="s">
        <v>42</v>
      </c>
      <c r="B44" s="14"/>
      <c r="C44" s="14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U44" s="10"/>
    </row>
    <row r="45" spans="1:21" customFormat="1" ht="20.25" hidden="1" x14ac:dyDescent="0.3">
      <c r="A45" s="13" t="s">
        <v>35</v>
      </c>
      <c r="B45" s="14"/>
      <c r="C45" s="14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U45" s="10"/>
    </row>
    <row r="46" spans="1:21" customFormat="1" ht="20.25" hidden="1" x14ac:dyDescent="0.3">
      <c r="A46" s="13" t="s">
        <v>43</v>
      </c>
      <c r="B46" s="14"/>
      <c r="C46" s="14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U46" s="10"/>
    </row>
    <row r="47" spans="1:21" customFormat="1" ht="20.25" hidden="1" x14ac:dyDescent="0.3">
      <c r="A47" s="13" t="s">
        <v>36</v>
      </c>
      <c r="B47" s="14"/>
      <c r="C47" s="14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U47" s="10"/>
    </row>
    <row r="48" spans="1:21" customFormat="1" ht="20.25" hidden="1" x14ac:dyDescent="0.3">
      <c r="A48" s="13" t="s">
        <v>25</v>
      </c>
      <c r="B48" s="14"/>
      <c r="C48" s="14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U48" s="10"/>
    </row>
    <row r="49" spans="1:21" customFormat="1" ht="20.25" hidden="1" x14ac:dyDescent="0.3">
      <c r="A49" s="13" t="s">
        <v>37</v>
      </c>
      <c r="B49" s="14"/>
      <c r="C49" s="14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U49" s="10"/>
    </row>
    <row r="50" spans="1:21" customFormat="1" ht="20.25" hidden="1" x14ac:dyDescent="0.3">
      <c r="A50" s="13" t="s">
        <v>38</v>
      </c>
      <c r="B50" s="14"/>
      <c r="C50" s="14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U50" s="10"/>
    </row>
    <row r="51" spans="1:21" customFormat="1" ht="20.25" hidden="1" x14ac:dyDescent="0.3">
      <c r="A51" s="13" t="s">
        <v>39</v>
      </c>
      <c r="B51" s="14"/>
      <c r="C51" s="14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U51" s="10"/>
    </row>
    <row r="52" spans="1:21" customFormat="1" ht="20.25" hidden="1" x14ac:dyDescent="0.3">
      <c r="A52" s="13" t="s">
        <v>40</v>
      </c>
      <c r="B52" s="14"/>
      <c r="C52" s="14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U52" s="10"/>
    </row>
    <row r="53" spans="1:21" customFormat="1" ht="20.25" hidden="1" x14ac:dyDescent="0.3">
      <c r="A53" s="21" t="s">
        <v>44</v>
      </c>
      <c r="B53" s="14"/>
      <c r="C53" s="14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U53" s="10"/>
    </row>
    <row r="54" spans="1:21" customFormat="1" ht="20.25" hidden="1" x14ac:dyDescent="0.3">
      <c r="A54" s="21" t="s">
        <v>45</v>
      </c>
      <c r="B54" s="14"/>
      <c r="C54" s="14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U54" s="10"/>
    </row>
    <row r="55" spans="1:21" customFormat="1" ht="20.25" hidden="1" x14ac:dyDescent="0.3">
      <c r="A55" s="16" t="s">
        <v>30</v>
      </c>
      <c r="B55" s="18"/>
      <c r="C55" s="18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U55" s="10"/>
    </row>
    <row r="56" spans="1:21" customFormat="1" ht="20.25" hidden="1" x14ac:dyDescent="0.25">
      <c r="A56" s="43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5"/>
      <c r="U56" s="10"/>
    </row>
    <row r="57" spans="1:21" customFormat="1" ht="20.25" hidden="1" x14ac:dyDescent="0.3">
      <c r="A57" s="21" t="s">
        <v>47</v>
      </c>
      <c r="B57" s="18"/>
      <c r="C57" s="18"/>
      <c r="D57" s="17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U57" s="10"/>
    </row>
    <row r="58" spans="1:21" customFormat="1" ht="20.25" hidden="1" x14ac:dyDescent="0.3">
      <c r="A58" s="22" t="s">
        <v>48</v>
      </c>
      <c r="B58" s="18"/>
      <c r="C58" s="18"/>
      <c r="D58" s="17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U58" s="10"/>
    </row>
    <row r="59" spans="1:21" customFormat="1" ht="20.25" hidden="1" x14ac:dyDescent="0.3">
      <c r="A59" s="23" t="s">
        <v>49</v>
      </c>
      <c r="B59" s="18"/>
      <c r="C59" s="18"/>
      <c r="D59" s="17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U59" s="10"/>
    </row>
    <row r="60" spans="1:21" customFormat="1" ht="20.25" hidden="1" x14ac:dyDescent="0.3">
      <c r="A60" s="16" t="s">
        <v>30</v>
      </c>
      <c r="B60" s="18"/>
      <c r="C60" s="18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U60" s="10"/>
    </row>
    <row r="61" spans="1:21" customFormat="1" ht="20.25" hidden="1" x14ac:dyDescent="0.25">
      <c r="A61" s="43" t="s">
        <v>50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5"/>
      <c r="U61" s="10"/>
    </row>
    <row r="62" spans="1:21" customFormat="1" ht="20.25" hidden="1" x14ac:dyDescent="0.3">
      <c r="A62" s="21" t="s">
        <v>51</v>
      </c>
      <c r="B62" s="14"/>
      <c r="C62" s="14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U62" s="10"/>
    </row>
    <row r="63" spans="1:21" customFormat="1" ht="20.25" hidden="1" x14ac:dyDescent="0.3">
      <c r="A63" s="21" t="s">
        <v>52</v>
      </c>
      <c r="B63" s="14"/>
      <c r="C63" s="14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U63" s="10"/>
    </row>
    <row r="64" spans="1:21" customFormat="1" ht="20.25" hidden="1" x14ac:dyDescent="0.3">
      <c r="A64" s="23" t="s">
        <v>49</v>
      </c>
      <c r="B64" s="18"/>
      <c r="C64" s="18"/>
      <c r="D64" s="17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U64" s="10"/>
    </row>
    <row r="65" spans="1:21" customFormat="1" ht="20.25" hidden="1" x14ac:dyDescent="0.3">
      <c r="A65" s="16" t="s">
        <v>30</v>
      </c>
      <c r="B65" s="18"/>
      <c r="C65" s="18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U65" s="10"/>
    </row>
    <row r="66" spans="1:21" customFormat="1" ht="20.25" hidden="1" x14ac:dyDescent="0.25">
      <c r="A66" s="43" t="s">
        <v>53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5"/>
      <c r="U66" s="10"/>
    </row>
    <row r="67" spans="1:21" customFormat="1" ht="20.25" hidden="1" x14ac:dyDescent="0.3">
      <c r="A67" s="21" t="s">
        <v>54</v>
      </c>
      <c r="B67" s="14"/>
      <c r="C67" s="14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U67" s="10"/>
    </row>
    <row r="68" spans="1:21" customFormat="1" ht="20.25" hidden="1" x14ac:dyDescent="0.3">
      <c r="A68" s="21" t="s">
        <v>55</v>
      </c>
      <c r="B68" s="14"/>
      <c r="C68" s="14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U68" s="10"/>
    </row>
    <row r="69" spans="1:21" customFormat="1" ht="20.25" hidden="1" x14ac:dyDescent="0.3">
      <c r="A69" s="23" t="s">
        <v>49</v>
      </c>
      <c r="B69" s="18"/>
      <c r="C69" s="18"/>
      <c r="D69" s="17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U69" s="10"/>
    </row>
    <row r="70" spans="1:21" customFormat="1" ht="20.25" hidden="1" x14ac:dyDescent="0.3">
      <c r="A70" s="16" t="s">
        <v>30</v>
      </c>
      <c r="B70" s="14"/>
      <c r="C70" s="14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U70" s="10"/>
    </row>
    <row r="71" spans="1:21" customFormat="1" ht="20.25" hidden="1" x14ac:dyDescent="0.3">
      <c r="A71" s="24" t="s">
        <v>56</v>
      </c>
      <c r="B71" s="18"/>
      <c r="C71" s="18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U71" s="10"/>
    </row>
    <row r="72" spans="1:21" customFormat="1" ht="20.25" hidden="1" x14ac:dyDescent="0.3">
      <c r="A72" s="46" t="s">
        <v>57</v>
      </c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8"/>
      <c r="U72" s="10"/>
    </row>
    <row r="73" spans="1:21" customFormat="1" ht="21.75" customHeight="1" x14ac:dyDescent="0.25">
      <c r="A73" s="59" t="s">
        <v>23</v>
      </c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1"/>
      <c r="U73" s="10"/>
    </row>
    <row r="74" spans="1:21" customFormat="1" ht="20.25" x14ac:dyDescent="0.3">
      <c r="A74" s="13" t="s">
        <v>58</v>
      </c>
      <c r="B74" s="14">
        <v>1</v>
      </c>
      <c r="C74" s="14">
        <v>8858</v>
      </c>
      <c r="D74" s="15">
        <f t="shared" ref="D74:D80" si="40">C74*B74</f>
        <v>8858</v>
      </c>
      <c r="E74" s="15">
        <f t="shared" ref="E74:E80" si="41">D74*15%</f>
        <v>1328.7</v>
      </c>
      <c r="F74" s="15">
        <f t="shared" ref="F74:F80" si="42">D74+E74</f>
        <v>10186.700000000001</v>
      </c>
      <c r="G74" s="15">
        <f t="shared" ref="G74:G80" si="43">F74*12</f>
        <v>122240.40000000001</v>
      </c>
      <c r="H74" s="15">
        <f t="shared" ref="H74:H80" si="44">F74*4</f>
        <v>40746.800000000003</v>
      </c>
      <c r="I74" s="15">
        <f t="shared" ref="I74:I80" si="45">F74*3</f>
        <v>30560.100000000002</v>
      </c>
      <c r="J74" s="15">
        <f t="shared" ref="J74:J80" si="46">(H74/12+F74)*2</f>
        <v>27164.533333333336</v>
      </c>
      <c r="K74" s="15">
        <f>F74*1.5</f>
        <v>15280.050000000001</v>
      </c>
      <c r="L74" s="15">
        <f t="shared" ref="L74:L80" si="47">F74*14</f>
        <v>142613.80000000002</v>
      </c>
      <c r="M74" s="15"/>
      <c r="N74" s="15"/>
      <c r="O74" s="15"/>
      <c r="P74" s="15"/>
      <c r="Q74" s="15">
        <f t="shared" ref="Q74:Q80" si="48">F74*12*3</f>
        <v>366721.2</v>
      </c>
      <c r="R74" s="15">
        <f>SUM(H74/12+F74)*3</f>
        <v>40746.800000000003</v>
      </c>
      <c r="S74" s="15">
        <f t="shared" ref="S74:S80" si="49">SUM(G74:R74)</f>
        <v>786073.68333333335</v>
      </c>
      <c r="U74" s="10">
        <f>S74/12/1</f>
        <v>65506.140277777777</v>
      </c>
    </row>
    <row r="75" spans="1:21" customFormat="1" ht="39.75" customHeight="1" x14ac:dyDescent="0.3">
      <c r="A75" s="13" t="s">
        <v>59</v>
      </c>
      <c r="B75" s="14">
        <v>1</v>
      </c>
      <c r="C75" s="14">
        <v>8465</v>
      </c>
      <c r="D75" s="15">
        <f t="shared" si="40"/>
        <v>8465</v>
      </c>
      <c r="E75" s="15">
        <f t="shared" si="41"/>
        <v>1269.75</v>
      </c>
      <c r="F75" s="15">
        <f t="shared" si="42"/>
        <v>9734.75</v>
      </c>
      <c r="G75" s="15">
        <f t="shared" si="43"/>
        <v>116817</v>
      </c>
      <c r="H75" s="15">
        <f t="shared" si="44"/>
        <v>38939</v>
      </c>
      <c r="I75" s="15">
        <f t="shared" si="45"/>
        <v>29204.25</v>
      </c>
      <c r="J75" s="15">
        <f t="shared" si="46"/>
        <v>25959.333333333332</v>
      </c>
      <c r="K75" s="15">
        <f t="shared" ref="K75:K80" si="50">F75*1.5</f>
        <v>14602.125</v>
      </c>
      <c r="L75" s="15">
        <f t="shared" si="47"/>
        <v>136286.5</v>
      </c>
      <c r="M75" s="15"/>
      <c r="N75" s="15"/>
      <c r="O75" s="15"/>
      <c r="P75" s="15"/>
      <c r="Q75" s="15">
        <f t="shared" si="48"/>
        <v>350451</v>
      </c>
      <c r="R75" s="15">
        <f t="shared" ref="R75:R80" si="51">SUM(H75/12+F75)*3</f>
        <v>38939</v>
      </c>
      <c r="S75" s="15">
        <f t="shared" si="49"/>
        <v>751198.20833333337</v>
      </c>
      <c r="U75" s="10">
        <f>S75/12/1</f>
        <v>62599.850694444445</v>
      </c>
    </row>
    <row r="76" spans="1:21" customFormat="1" ht="40.5" x14ac:dyDescent="0.3">
      <c r="A76" s="13" t="s">
        <v>76</v>
      </c>
      <c r="B76" s="14">
        <v>1</v>
      </c>
      <c r="C76" s="14">
        <v>8056</v>
      </c>
      <c r="D76" s="15">
        <f t="shared" si="40"/>
        <v>8056</v>
      </c>
      <c r="E76" s="15">
        <f t="shared" si="41"/>
        <v>1208.3999999999999</v>
      </c>
      <c r="F76" s="15">
        <f t="shared" si="42"/>
        <v>9264.4</v>
      </c>
      <c r="G76" s="15">
        <f t="shared" si="43"/>
        <v>111172.79999999999</v>
      </c>
      <c r="H76" s="15">
        <f t="shared" si="44"/>
        <v>37057.599999999999</v>
      </c>
      <c r="I76" s="15">
        <f t="shared" si="45"/>
        <v>27793.199999999997</v>
      </c>
      <c r="J76" s="15">
        <f t="shared" si="46"/>
        <v>24705.066666666666</v>
      </c>
      <c r="K76" s="15">
        <f t="shared" si="50"/>
        <v>13896.599999999999</v>
      </c>
      <c r="L76" s="15">
        <f t="shared" si="47"/>
        <v>129701.59999999999</v>
      </c>
      <c r="M76" s="15"/>
      <c r="N76" s="15"/>
      <c r="O76" s="15"/>
      <c r="P76" s="15"/>
      <c r="Q76" s="15">
        <f t="shared" si="48"/>
        <v>333518.39999999997</v>
      </c>
      <c r="R76" s="15">
        <f t="shared" si="51"/>
        <v>37057.599999999999</v>
      </c>
      <c r="S76" s="15">
        <f t="shared" si="49"/>
        <v>714902.86666666658</v>
      </c>
      <c r="U76" s="10">
        <f>S76/12/1</f>
        <v>59575.238888888882</v>
      </c>
    </row>
    <row r="77" spans="1:21" customFormat="1" ht="36.75" customHeight="1" x14ac:dyDescent="0.3">
      <c r="A77" s="13" t="s">
        <v>60</v>
      </c>
      <c r="B77" s="14">
        <v>1</v>
      </c>
      <c r="C77" s="14">
        <v>8056</v>
      </c>
      <c r="D77" s="15">
        <f t="shared" si="40"/>
        <v>8056</v>
      </c>
      <c r="E77" s="15">
        <f t="shared" si="41"/>
        <v>1208.3999999999999</v>
      </c>
      <c r="F77" s="15">
        <f t="shared" si="42"/>
        <v>9264.4</v>
      </c>
      <c r="G77" s="15">
        <f t="shared" si="43"/>
        <v>111172.79999999999</v>
      </c>
      <c r="H77" s="15">
        <f t="shared" si="44"/>
        <v>37057.599999999999</v>
      </c>
      <c r="I77" s="15">
        <f t="shared" si="45"/>
        <v>27793.199999999997</v>
      </c>
      <c r="J77" s="15">
        <f t="shared" si="46"/>
        <v>24705.066666666666</v>
      </c>
      <c r="K77" s="15">
        <f t="shared" si="50"/>
        <v>13896.599999999999</v>
      </c>
      <c r="L77" s="15">
        <f t="shared" si="47"/>
        <v>129701.59999999999</v>
      </c>
      <c r="M77" s="15"/>
      <c r="N77" s="15"/>
      <c r="O77" s="15"/>
      <c r="P77" s="15"/>
      <c r="Q77" s="15">
        <f t="shared" si="48"/>
        <v>333518.39999999997</v>
      </c>
      <c r="R77" s="15">
        <f t="shared" si="51"/>
        <v>37057.599999999999</v>
      </c>
      <c r="S77" s="15">
        <f t="shared" si="49"/>
        <v>714902.86666666658</v>
      </c>
      <c r="U77" s="10">
        <f>S77/12/1</f>
        <v>59575.238888888882</v>
      </c>
    </row>
    <row r="78" spans="1:21" customFormat="1" ht="21" customHeight="1" x14ac:dyDescent="0.3">
      <c r="A78" s="13" t="s">
        <v>61</v>
      </c>
      <c r="B78" s="14">
        <v>5</v>
      </c>
      <c r="C78" s="14">
        <v>6937</v>
      </c>
      <c r="D78" s="15">
        <f t="shared" si="40"/>
        <v>34685</v>
      </c>
      <c r="E78" s="15">
        <f t="shared" si="41"/>
        <v>5202.75</v>
      </c>
      <c r="F78" s="15">
        <f t="shared" si="42"/>
        <v>39887.75</v>
      </c>
      <c r="G78" s="15">
        <f t="shared" si="43"/>
        <v>478653</v>
      </c>
      <c r="H78" s="15">
        <f t="shared" si="44"/>
        <v>159551</v>
      </c>
      <c r="I78" s="15">
        <f t="shared" si="45"/>
        <v>119663.25</v>
      </c>
      <c r="J78" s="15">
        <f t="shared" si="46"/>
        <v>106367.33333333333</v>
      </c>
      <c r="K78" s="15">
        <f t="shared" si="50"/>
        <v>59831.625</v>
      </c>
      <c r="L78" s="15">
        <f t="shared" si="47"/>
        <v>558428.5</v>
      </c>
      <c r="M78" s="15"/>
      <c r="N78" s="15"/>
      <c r="O78" s="15"/>
      <c r="P78" s="15"/>
      <c r="Q78" s="15">
        <f t="shared" si="48"/>
        <v>1435959</v>
      </c>
      <c r="R78" s="15">
        <f>SUM(H78/12+F78)*3</f>
        <v>159551</v>
      </c>
      <c r="S78" s="15">
        <f t="shared" si="49"/>
        <v>3078004.7083333335</v>
      </c>
      <c r="U78" s="10">
        <f>S78/12/5</f>
        <v>51300.078472222223</v>
      </c>
    </row>
    <row r="79" spans="1:21" customFormat="1" ht="20.25" x14ac:dyDescent="0.3">
      <c r="A79" s="13" t="s">
        <v>28</v>
      </c>
      <c r="B79" s="14">
        <v>8</v>
      </c>
      <c r="C79" s="14">
        <v>5977</v>
      </c>
      <c r="D79" s="15">
        <f t="shared" si="40"/>
        <v>47816</v>
      </c>
      <c r="E79" s="15">
        <f t="shared" si="41"/>
        <v>7172.4</v>
      </c>
      <c r="F79" s="15">
        <f t="shared" si="42"/>
        <v>54988.4</v>
      </c>
      <c r="G79" s="15">
        <f t="shared" si="43"/>
        <v>659860.80000000005</v>
      </c>
      <c r="H79" s="15">
        <f t="shared" si="44"/>
        <v>219953.6</v>
      </c>
      <c r="I79" s="15">
        <f t="shared" si="45"/>
        <v>164965.20000000001</v>
      </c>
      <c r="J79" s="15">
        <f t="shared" si="46"/>
        <v>146635.73333333334</v>
      </c>
      <c r="K79" s="15">
        <f t="shared" si="50"/>
        <v>82482.600000000006</v>
      </c>
      <c r="L79" s="15">
        <f t="shared" si="47"/>
        <v>769837.6</v>
      </c>
      <c r="M79" s="15"/>
      <c r="N79" s="15"/>
      <c r="O79" s="15"/>
      <c r="P79" s="15"/>
      <c r="Q79" s="15">
        <f t="shared" si="48"/>
        <v>1979582.4000000001</v>
      </c>
      <c r="R79" s="15">
        <f t="shared" si="51"/>
        <v>219953.6</v>
      </c>
      <c r="S79" s="15">
        <f t="shared" si="49"/>
        <v>4243271.5333333332</v>
      </c>
      <c r="U79" s="10">
        <f>S79/12/5</f>
        <v>70721.19222222222</v>
      </c>
    </row>
    <row r="80" spans="1:21" customFormat="1" ht="20.25" x14ac:dyDescent="0.3">
      <c r="A80" s="13" t="s">
        <v>29</v>
      </c>
      <c r="B80" s="14">
        <v>14</v>
      </c>
      <c r="C80" s="14">
        <v>5135</v>
      </c>
      <c r="D80" s="15">
        <f t="shared" si="40"/>
        <v>71890</v>
      </c>
      <c r="E80" s="15">
        <f t="shared" si="41"/>
        <v>10783.5</v>
      </c>
      <c r="F80" s="15">
        <f t="shared" si="42"/>
        <v>82673.5</v>
      </c>
      <c r="G80" s="15">
        <f t="shared" si="43"/>
        <v>992082</v>
      </c>
      <c r="H80" s="15">
        <f t="shared" si="44"/>
        <v>330694</v>
      </c>
      <c r="I80" s="15">
        <f t="shared" si="45"/>
        <v>248020.5</v>
      </c>
      <c r="J80" s="15">
        <f t="shared" si="46"/>
        <v>220462.66666666666</v>
      </c>
      <c r="K80" s="15">
        <f t="shared" si="50"/>
        <v>124010.25</v>
      </c>
      <c r="L80" s="15">
        <f t="shared" si="47"/>
        <v>1157429</v>
      </c>
      <c r="M80" s="15"/>
      <c r="N80" s="15"/>
      <c r="O80" s="15"/>
      <c r="P80" s="15"/>
      <c r="Q80" s="15">
        <f t="shared" si="48"/>
        <v>2976246</v>
      </c>
      <c r="R80" s="15">
        <f t="shared" si="51"/>
        <v>330694</v>
      </c>
      <c r="S80" s="15">
        <f t="shared" si="49"/>
        <v>6379638.416666667</v>
      </c>
      <c r="U80" s="10">
        <f>S80/12/16</f>
        <v>33227.283420138891</v>
      </c>
    </row>
    <row r="81" spans="1:21" customFormat="1" ht="20.25" x14ac:dyDescent="0.3">
      <c r="A81" s="16" t="s">
        <v>30</v>
      </c>
      <c r="B81" s="18">
        <f t="shared" ref="B81:S81" si="52">SUM(B74:B80)</f>
        <v>31</v>
      </c>
      <c r="C81" s="18">
        <f t="shared" si="52"/>
        <v>51484</v>
      </c>
      <c r="D81" s="17">
        <f t="shared" si="52"/>
        <v>187826</v>
      </c>
      <c r="E81" s="17">
        <f t="shared" si="52"/>
        <v>28173.9</v>
      </c>
      <c r="F81" s="17">
        <f t="shared" si="52"/>
        <v>215999.9</v>
      </c>
      <c r="G81" s="17">
        <f t="shared" si="52"/>
        <v>2591998.7999999998</v>
      </c>
      <c r="H81" s="17">
        <f t="shared" si="52"/>
        <v>863999.6</v>
      </c>
      <c r="I81" s="17">
        <f t="shared" si="52"/>
        <v>647999.69999999995</v>
      </c>
      <c r="J81" s="17">
        <f t="shared" si="52"/>
        <v>575999.73333333328</v>
      </c>
      <c r="K81" s="17">
        <f t="shared" si="52"/>
        <v>323999.84999999998</v>
      </c>
      <c r="L81" s="17">
        <f t="shared" si="52"/>
        <v>3023998.6</v>
      </c>
      <c r="M81" s="17">
        <f t="shared" si="52"/>
        <v>0</v>
      </c>
      <c r="N81" s="17">
        <f t="shared" si="52"/>
        <v>0</v>
      </c>
      <c r="O81" s="17">
        <f t="shared" si="52"/>
        <v>0</v>
      </c>
      <c r="P81" s="17">
        <f t="shared" si="52"/>
        <v>0</v>
      </c>
      <c r="Q81" s="17">
        <f t="shared" si="52"/>
        <v>7775996.4000000004</v>
      </c>
      <c r="R81" s="17">
        <f t="shared" si="52"/>
        <v>863999.6</v>
      </c>
      <c r="S81" s="17">
        <f t="shared" si="52"/>
        <v>16667992.283333335</v>
      </c>
      <c r="U81" s="10"/>
    </row>
    <row r="82" spans="1:21" customFormat="1" ht="20.25" hidden="1" x14ac:dyDescent="0.3">
      <c r="A82" s="21"/>
      <c r="B82" s="14"/>
      <c r="C82" s="14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U82" s="10"/>
    </row>
    <row r="83" spans="1:21" customFormat="1" ht="20.25" hidden="1" x14ac:dyDescent="0.3">
      <c r="A83" s="21"/>
      <c r="B83" s="14"/>
      <c r="C83" s="14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U83" s="10"/>
    </row>
    <row r="84" spans="1:21" customFormat="1" ht="20.25" hidden="1" x14ac:dyDescent="0.3">
      <c r="A84" s="16" t="s">
        <v>30</v>
      </c>
      <c r="B84" s="18"/>
      <c r="C84" s="18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U84" s="10"/>
    </row>
    <row r="85" spans="1:21" customFormat="1" ht="20.25" hidden="1" x14ac:dyDescent="0.25">
      <c r="A85" s="43" t="s">
        <v>53</v>
      </c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5"/>
      <c r="U85" s="10"/>
    </row>
    <row r="86" spans="1:21" customFormat="1" ht="20.25" hidden="1" x14ac:dyDescent="0.3">
      <c r="A86" s="21" t="s">
        <v>54</v>
      </c>
      <c r="B86" s="14"/>
      <c r="C86" s="14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U86" s="10"/>
    </row>
    <row r="87" spans="1:21" customFormat="1" ht="20.25" hidden="1" x14ac:dyDescent="0.3">
      <c r="A87" s="21" t="s">
        <v>55</v>
      </c>
      <c r="B87" s="14"/>
      <c r="C87" s="14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U87" s="10"/>
    </row>
    <row r="88" spans="1:21" customFormat="1" ht="20.25" hidden="1" x14ac:dyDescent="0.3">
      <c r="A88" s="21" t="s">
        <v>62</v>
      </c>
      <c r="B88" s="14"/>
      <c r="C88" s="14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U88" s="10"/>
    </row>
    <row r="89" spans="1:21" customFormat="1" ht="20.25" hidden="1" x14ac:dyDescent="0.3">
      <c r="A89" s="16" t="s">
        <v>30</v>
      </c>
      <c r="B89" s="14"/>
      <c r="C89" s="14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U89" s="10"/>
    </row>
    <row r="90" spans="1:21" customFormat="1" ht="40.5" hidden="1" x14ac:dyDescent="0.3">
      <c r="A90" s="24" t="s">
        <v>65</v>
      </c>
      <c r="B90" s="19">
        <f t="shared" ref="B90:S90" si="53">B14+B37+B81</f>
        <v>179</v>
      </c>
      <c r="C90" s="18">
        <f t="shared" si="53"/>
        <v>176079</v>
      </c>
      <c r="D90" s="17">
        <f t="shared" si="53"/>
        <v>1139444</v>
      </c>
      <c r="E90" s="17">
        <f t="shared" si="53"/>
        <v>170916.59999999998</v>
      </c>
      <c r="F90" s="17">
        <f t="shared" si="53"/>
        <v>1310360.5999999999</v>
      </c>
      <c r="G90" s="17">
        <f t="shared" si="53"/>
        <v>15724327.199999999</v>
      </c>
      <c r="H90" s="17">
        <f t="shared" si="53"/>
        <v>5241442.3999999994</v>
      </c>
      <c r="I90" s="17">
        <f t="shared" si="53"/>
        <v>3931081.8</v>
      </c>
      <c r="J90" s="17">
        <f t="shared" si="53"/>
        <v>3494294.9333333331</v>
      </c>
      <c r="K90" s="17">
        <f t="shared" si="53"/>
        <v>1965540.9</v>
      </c>
      <c r="L90" s="17">
        <f t="shared" si="53"/>
        <v>18345048.399999999</v>
      </c>
      <c r="M90" s="17">
        <f t="shared" si="53"/>
        <v>0</v>
      </c>
      <c r="N90" s="17">
        <f t="shared" si="53"/>
        <v>0</v>
      </c>
      <c r="O90" s="17">
        <f t="shared" si="53"/>
        <v>0</v>
      </c>
      <c r="P90" s="17">
        <f t="shared" si="53"/>
        <v>0</v>
      </c>
      <c r="Q90" s="17">
        <f t="shared" si="53"/>
        <v>50514806.160000004</v>
      </c>
      <c r="R90" s="17">
        <f t="shared" si="53"/>
        <v>5241442.3999999994</v>
      </c>
      <c r="S90" s="17">
        <f t="shared" si="53"/>
        <v>104457984.19333333</v>
      </c>
      <c r="U90" s="10"/>
    </row>
    <row r="91" spans="1:21" s="34" customFormat="1" ht="21" customHeight="1" x14ac:dyDescent="0.3">
      <c r="A91" s="37" t="s">
        <v>73</v>
      </c>
      <c r="B91" s="18">
        <f>B81</f>
        <v>31</v>
      </c>
      <c r="C91" s="18">
        <f t="shared" ref="C91:S91" si="54">C81</f>
        <v>51484</v>
      </c>
      <c r="D91" s="18">
        <f t="shared" si="54"/>
        <v>187826</v>
      </c>
      <c r="E91" s="18">
        <f t="shared" si="54"/>
        <v>28173.9</v>
      </c>
      <c r="F91" s="18">
        <f t="shared" si="54"/>
        <v>215999.9</v>
      </c>
      <c r="G91" s="18">
        <f t="shared" si="54"/>
        <v>2591998.7999999998</v>
      </c>
      <c r="H91" s="18">
        <f t="shared" si="54"/>
        <v>863999.6</v>
      </c>
      <c r="I91" s="18">
        <f t="shared" si="54"/>
        <v>647999.69999999995</v>
      </c>
      <c r="J91" s="18">
        <f t="shared" si="54"/>
        <v>575999.73333333328</v>
      </c>
      <c r="K91" s="18">
        <f t="shared" si="54"/>
        <v>323999.84999999998</v>
      </c>
      <c r="L91" s="18">
        <f t="shared" si="54"/>
        <v>3023998.6</v>
      </c>
      <c r="M91" s="18">
        <f t="shared" si="54"/>
        <v>0</v>
      </c>
      <c r="N91" s="18">
        <f t="shared" si="54"/>
        <v>0</v>
      </c>
      <c r="O91" s="18">
        <f t="shared" si="54"/>
        <v>0</v>
      </c>
      <c r="P91" s="18">
        <f t="shared" si="54"/>
        <v>0</v>
      </c>
      <c r="Q91" s="18">
        <f t="shared" si="54"/>
        <v>7775996.4000000004</v>
      </c>
      <c r="R91" s="18">
        <f t="shared" si="54"/>
        <v>863999.6</v>
      </c>
      <c r="S91" s="18">
        <f t="shared" si="54"/>
        <v>16667992.283333335</v>
      </c>
      <c r="U91" s="35"/>
    </row>
    <row r="92" spans="1:21" s="34" customFormat="1" ht="45.75" customHeight="1" x14ac:dyDescent="0.3">
      <c r="A92" s="38" t="s">
        <v>74</v>
      </c>
      <c r="B92" s="18">
        <f t="shared" ref="B92:S92" si="55">B14+B21+B38+B91</f>
        <v>181</v>
      </c>
      <c r="C92" s="18">
        <f t="shared" si="55"/>
        <v>182056</v>
      </c>
      <c r="D92" s="18">
        <f t="shared" si="55"/>
        <v>1151398</v>
      </c>
      <c r="E92" s="18">
        <f t="shared" si="55"/>
        <v>172709.69999999998</v>
      </c>
      <c r="F92" s="18">
        <f t="shared" si="55"/>
        <v>1324107.7</v>
      </c>
      <c r="G92" s="18">
        <f t="shared" si="55"/>
        <v>15889292.399999999</v>
      </c>
      <c r="H92" s="18">
        <f t="shared" si="55"/>
        <v>5296430.8</v>
      </c>
      <c r="I92" s="18">
        <f t="shared" si="55"/>
        <v>3972323.0999999996</v>
      </c>
      <c r="J92" s="18">
        <f t="shared" si="55"/>
        <v>3530953.8666666667</v>
      </c>
      <c r="K92" s="18">
        <f t="shared" si="55"/>
        <v>1986161.5499999998</v>
      </c>
      <c r="L92" s="18">
        <f t="shared" si="55"/>
        <v>18537507.800000001</v>
      </c>
      <c r="M92" s="18">
        <f t="shared" si="55"/>
        <v>0</v>
      </c>
      <c r="N92" s="18">
        <f t="shared" si="55"/>
        <v>0</v>
      </c>
      <c r="O92" s="18">
        <f t="shared" si="55"/>
        <v>0</v>
      </c>
      <c r="P92" s="18">
        <f t="shared" si="55"/>
        <v>0</v>
      </c>
      <c r="Q92" s="18">
        <f t="shared" si="55"/>
        <v>51009701.759999998</v>
      </c>
      <c r="R92" s="18">
        <f t="shared" si="55"/>
        <v>5296430.8</v>
      </c>
      <c r="S92" s="18">
        <f t="shared" si="55"/>
        <v>105518802.07666667</v>
      </c>
      <c r="U92" s="35"/>
    </row>
    <row r="93" spans="1:21" s="34" customFormat="1" ht="104.25" customHeight="1" x14ac:dyDescent="0.3">
      <c r="A93" s="38" t="s">
        <v>71</v>
      </c>
      <c r="B93" s="18">
        <f>B23+B38+B91</f>
        <v>184</v>
      </c>
      <c r="C93" s="18">
        <f t="shared" ref="C93:S93" si="56">C23+C38+C91</f>
        <v>226340</v>
      </c>
      <c r="D93" s="18">
        <f t="shared" si="56"/>
        <v>1195682</v>
      </c>
      <c r="E93" s="18">
        <f t="shared" si="56"/>
        <v>179352.3</v>
      </c>
      <c r="F93" s="18">
        <f t="shared" si="56"/>
        <v>1375034.3</v>
      </c>
      <c r="G93" s="18">
        <f t="shared" si="56"/>
        <v>16500411.600000001</v>
      </c>
      <c r="H93" s="18">
        <f t="shared" si="56"/>
        <v>5296430.8</v>
      </c>
      <c r="I93" s="18">
        <f t="shared" si="56"/>
        <v>4125102.9000000004</v>
      </c>
      <c r="J93" s="18">
        <f t="shared" si="56"/>
        <v>3530953.8666666667</v>
      </c>
      <c r="K93" s="18">
        <f t="shared" si="56"/>
        <v>1986161.5499999998</v>
      </c>
      <c r="L93" s="18">
        <f t="shared" si="56"/>
        <v>18537507.800000001</v>
      </c>
      <c r="M93" s="18">
        <f t="shared" si="56"/>
        <v>0</v>
      </c>
      <c r="N93" s="18">
        <f t="shared" si="56"/>
        <v>0</v>
      </c>
      <c r="O93" s="18">
        <f t="shared" si="56"/>
        <v>0</v>
      </c>
      <c r="P93" s="18">
        <f t="shared" si="56"/>
        <v>0</v>
      </c>
      <c r="Q93" s="18">
        <f t="shared" si="56"/>
        <v>53271687.359999999</v>
      </c>
      <c r="R93" s="18">
        <f t="shared" si="56"/>
        <v>5449210.5999999996</v>
      </c>
      <c r="S93" s="18">
        <f t="shared" si="56"/>
        <v>108697466.47666666</v>
      </c>
      <c r="U93" s="35"/>
    </row>
    <row r="94" spans="1:21" customFormat="1" ht="20.25" x14ac:dyDescent="0.3">
      <c r="A94" s="27"/>
      <c r="B94" s="28"/>
      <c r="C94" s="28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U94" s="10"/>
    </row>
    <row r="95" spans="1:21" customFormat="1" ht="30.75" customHeight="1" x14ac:dyDescent="0.3">
      <c r="A95" s="29" t="s">
        <v>5</v>
      </c>
      <c r="B95" s="29"/>
      <c r="C95" s="30"/>
      <c r="D95" s="30"/>
      <c r="E95" s="29"/>
      <c r="F95" s="30" t="s">
        <v>63</v>
      </c>
      <c r="G95" s="30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21" ht="20.25" x14ac:dyDescent="0.3">
      <c r="A96" s="29"/>
      <c r="B96" s="29"/>
      <c r="C96" s="29" t="s">
        <v>1</v>
      </c>
      <c r="D96" s="29"/>
      <c r="E96" s="29"/>
      <c r="F96" s="29" t="s">
        <v>2</v>
      </c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20.25" x14ac:dyDescent="0.3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20.25" x14ac:dyDescent="0.3">
      <c r="A98" s="30" t="s">
        <v>83</v>
      </c>
      <c r="B98" s="29"/>
      <c r="C98" s="30"/>
      <c r="D98" s="30"/>
      <c r="E98" s="29"/>
      <c r="F98" s="30" t="s">
        <v>84</v>
      </c>
      <c r="G98" s="30"/>
      <c r="H98" s="29"/>
      <c r="I98" s="30" t="s">
        <v>64</v>
      </c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20.25" x14ac:dyDescent="0.3">
      <c r="A99" s="29" t="s">
        <v>4</v>
      </c>
      <c r="B99" s="29"/>
      <c r="C99" s="29" t="s">
        <v>1</v>
      </c>
      <c r="D99" s="29"/>
      <c r="E99" s="29"/>
      <c r="F99" s="29" t="s">
        <v>2</v>
      </c>
      <c r="G99" s="29"/>
      <c r="H99" s="29"/>
      <c r="I99" s="29" t="s">
        <v>3</v>
      </c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1" spans="1:19" x14ac:dyDescent="0.25">
      <c r="A101" s="2"/>
      <c r="B101" s="6"/>
      <c r="C101" s="6"/>
      <c r="D101" s="2"/>
      <c r="E101" s="2"/>
      <c r="F101" s="2"/>
      <c r="G101" s="2"/>
      <c r="H101" s="2"/>
      <c r="I101" s="2"/>
      <c r="J101" s="2"/>
    </row>
    <row r="102" spans="1:19" ht="20.25" x14ac:dyDescent="0.3">
      <c r="A102" s="31"/>
      <c r="B102" s="32"/>
      <c r="C102" s="32"/>
      <c r="D102" s="31"/>
      <c r="E102" s="31"/>
      <c r="F102" s="31"/>
    </row>
    <row r="103" spans="1:19" ht="20.25" x14ac:dyDescent="0.3">
      <c r="A103" s="31"/>
      <c r="B103" s="32"/>
      <c r="C103" s="32"/>
      <c r="D103" s="31"/>
      <c r="E103" s="31"/>
      <c r="F103" s="31"/>
    </row>
    <row r="104" spans="1:19" ht="20.25" x14ac:dyDescent="0.3">
      <c r="A104" s="31"/>
      <c r="B104" s="32"/>
      <c r="C104" s="32"/>
      <c r="D104" s="31"/>
    </row>
    <row r="105" spans="1:19" ht="20.25" x14ac:dyDescent="0.3">
      <c r="A105" s="31"/>
      <c r="B105" s="32"/>
      <c r="C105" s="32"/>
      <c r="D105" s="31"/>
    </row>
  </sheetData>
  <mergeCells count="20">
    <mergeCell ref="A9:S9"/>
    <mergeCell ref="A3:S3"/>
    <mergeCell ref="A4:S4"/>
    <mergeCell ref="A5:S5"/>
    <mergeCell ref="P2:S2"/>
    <mergeCell ref="A8:S8"/>
    <mergeCell ref="A85:S85"/>
    <mergeCell ref="A61:S61"/>
    <mergeCell ref="A66:S66"/>
    <mergeCell ref="A72:S72"/>
    <mergeCell ref="V12:Y12"/>
    <mergeCell ref="A15:S15"/>
    <mergeCell ref="A16:S16"/>
    <mergeCell ref="A24:S24"/>
    <mergeCell ref="A25:S25"/>
    <mergeCell ref="A73:S73"/>
    <mergeCell ref="A39:S39"/>
    <mergeCell ref="A40:S40"/>
    <mergeCell ref="A56:S56"/>
    <mergeCell ref="A20:S20"/>
  </mergeCells>
  <pageMargins left="0.70866141732283472" right="0.70866141732283472" top="0.74803149606299213" bottom="0.74803149606299213" header="0.31496062992125984" footer="0.31496062992125984"/>
  <pageSetup paperSize="9" scale="30" fitToHeight="0" orientation="landscape" r:id="rId1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01.01.2024</vt:lpstr>
      <vt:lpstr>'01.01.2024'!Область_печати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Вежнина Александра Станиславовна</dc:creator>
  <cp:lastModifiedBy>Oksana-411</cp:lastModifiedBy>
  <cp:lastPrinted>2023-11-01T07:28:19Z</cp:lastPrinted>
  <dcterms:created xsi:type="dcterms:W3CDTF">2018-09-28T11:00:55Z</dcterms:created>
  <dcterms:modified xsi:type="dcterms:W3CDTF">2024-10-31T10:27:34Z</dcterms:modified>
</cp:coreProperties>
</file>